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3.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1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06" sheetId="12" r:id="rId12"/>
    <sheet name="07" sheetId="13" r:id="rId13"/>
  </sheets>
  <externalReferences>
    <externalReference r:id="rId16"/>
    <externalReference r:id="rId17"/>
    <externalReference r:id="rId18"/>
    <externalReference r:id="rId19"/>
    <externalReference r:id="rId20"/>
    <externalReference r:id="rId21"/>
    <externalReference r:id="rId22"/>
  </externalReferences>
  <definedNames>
    <definedName name="_xlfn.COUNTIFS" hidden="1">#NAME?</definedName>
    <definedName name="_xlfn.SUMIFS" hidden="1">#NAME?</definedName>
    <definedName name="Nguyennhan">'[1]Nguyen_nhan'!$B$3:$B$16</definedName>
    <definedName name="_xlnm.Print_Area" localSheetId="11">'06'!$A$1:$S$127</definedName>
    <definedName name="_xlnm.Print_Area" localSheetId="12">'07'!$A$1:$T$127</definedName>
    <definedName name="_xlnm.Print_Area" localSheetId="1">'Mãu BC mien giam 8'!$A$1:$N$36</definedName>
    <definedName name="_xlnm.Print_Titles" localSheetId="11">'06'!$6:$10</definedName>
    <definedName name="_xlnm.Print_Titles" localSheetId="12">'07'!$6:$10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12.xml><?xml version="1.0" encoding="utf-8"?>
<comments xmlns="http://schemas.openxmlformats.org/spreadsheetml/2006/main">
  <authors>
    <author>IT DAK LAK</author>
  </authors>
  <commentList>
    <comment ref="H110" authorId="0">
      <text>
        <r>
          <rPr>
            <b/>
            <sz val="8"/>
            <rFont val="Tahoma"/>
            <family val="2"/>
          </rPr>
          <t>IT DAK LAK:</t>
        </r>
        <r>
          <rPr>
            <sz val="8"/>
            <rFont val="Tahoma"/>
            <family val="2"/>
          </rPr>
          <t xml:space="preserve">
</t>
        </r>
      </text>
    </comment>
  </commentList>
</comments>
</file>

<file path=xl/comments13.xml><?xml version="1.0" encoding="utf-8"?>
<comments xmlns="http://schemas.openxmlformats.org/spreadsheetml/2006/main">
  <authors>
    <author>IT DAK LAK</author>
  </authors>
  <commentList>
    <comment ref="C110" authorId="0">
      <text>
        <r>
          <rPr>
            <b/>
            <sz val="8"/>
            <rFont val="Tahoma"/>
            <family val="2"/>
          </rPr>
          <t>IT DAK LAK:</t>
        </r>
        <r>
          <rPr>
            <sz val="8"/>
            <rFont val="Tahoma"/>
            <family val="2"/>
          </rPr>
          <t xml:space="preserve">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<sst xmlns="http://schemas.openxmlformats.org/spreadsheetml/2006/main" count="1293" uniqueCount="613">
  <si>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</si>
  <si>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</si>
  <si>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</si>
  <si>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</si>
  <si>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</si>
  <si>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</si>
  <si>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</si>
  <si>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</si>
  <si>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</si>
  <si>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</si>
  <si>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</si>
  <si>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</si>
  <si>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</si>
  <si>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</si>
  <si>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</si>
  <si>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</si>
  <si>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</si>
  <si>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</si>
  <si>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</si>
  <si>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</si>
  <si>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</si>
  <si>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</si>
  <si>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</si>
  <si>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</si>
  <si>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</si>
  <si>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</si>
  <si>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</si>
  <si>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</si>
  <si>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</si>
  <si>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</si>
  <si>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</si>
  <si>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</si>
  <si>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</si>
  <si>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</si>
  <si>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</si>
  <si>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</si>
  <si>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</si>
  <si>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</si>
  <si>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</si>
  <si>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</si>
  <si>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</si>
  <si>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</si>
  <si>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</si>
  <si>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</si>
  <si>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</si>
  <si>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</si>
  <si>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</si>
  <si>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</si>
  <si>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</si>
  <si>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</si>
  <si>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</si>
  <si>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</si>
  <si>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</si>
  <si>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</si>
  <si>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</si>
  <si>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</si>
  <si>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</si>
  <si>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</si>
  <si>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</si>
  <si>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</si>
  <si>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</si>
  <si>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</si>
  <si>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</si>
  <si>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</si>
  <si>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</si>
  <si>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</si>
  <si>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</si>
  <si>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</si>
  <si>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</si>
  <si>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</si>
  <si>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</si>
  <si>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</si>
  <si>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</si>
  <si>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</si>
  <si>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</si>
  <si>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</si>
  <si>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</si>
  <si>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</si>
  <si>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</si>
  <si>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</si>
  <si>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</si>
  <si>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</si>
  <si>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</si>
  <si>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</si>
  <si>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</si>
  <si>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</si>
  <si>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</si>
  <si>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</si>
  <si>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</si>
  <si>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</si>
  <si>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</si>
  <si>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</si>
  <si>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</si>
  <si>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</si>
  <si>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</si>
  <si>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</si>
  <si>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</si>
  <si>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</si>
  <si>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</si>
  <si>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</si>
  <si>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</si>
  <si>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</si>
  <si>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</si>
  <si>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</si>
  <si>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</si>
  <si>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</si>
  <si>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</si>
  <si>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</si>
  <si>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</si>
  <si>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</si>
  <si>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</si>
  <si>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4.1</t>
  </si>
  <si>
    <t>4.2</t>
  </si>
  <si>
    <t>5.1</t>
  </si>
  <si>
    <t>5.2</t>
  </si>
  <si>
    <t>5.3</t>
  </si>
  <si>
    <t>1.8</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</si>
  <si>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</si>
  <si>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</si>
  <si>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</si>
  <si>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</si>
  <si>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</si>
  <si>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</si>
  <si>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</si>
  <si>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</si>
  <si>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</si>
  <si>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</si>
  <si>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</si>
  <si>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</si>
  <si>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</si>
  <si>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</si>
  <si>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</si>
  <si>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</si>
  <si>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</si>
  <si>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</si>
  <si>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</si>
  <si>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</si>
  <si>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</si>
  <si>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</si>
  <si>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</si>
  <si>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</si>
  <si>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</si>
  <si>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</si>
  <si>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</si>
  <si>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</si>
  <si>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</si>
  <si>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</si>
  <si>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</si>
  <si>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</si>
  <si>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</si>
  <si>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</si>
  <si>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</si>
  <si>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</si>
  <si>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</si>
  <si>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</si>
  <si>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</si>
  <si>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</si>
  <si>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</si>
  <si>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</si>
  <si>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</si>
  <si>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</si>
  <si>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</si>
  <si>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</si>
  <si>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</si>
  <si>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</si>
  <si>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</si>
  <si>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</si>
  <si>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</si>
  <si>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</si>
  <si>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</si>
  <si>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</si>
  <si>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</si>
  <si>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</si>
  <si>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</si>
  <si>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</si>
  <si>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</si>
  <si>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</si>
  <si>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</si>
  <si>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</si>
  <si>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</si>
  <si>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</si>
  <si>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</si>
  <si>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</si>
  <si>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</si>
  <si>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</si>
  <si>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</si>
  <si>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</si>
  <si>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</si>
  <si>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</si>
  <si>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</si>
  <si>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</si>
  <si>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</si>
  <si>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</si>
  <si>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</si>
  <si>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</si>
  <si>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</si>
  <si>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</si>
  <si>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</si>
  <si>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</si>
  <si>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</si>
  <si>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</si>
  <si>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</si>
  <si>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</si>
  <si>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</si>
  <si>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</si>
  <si>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</si>
  <si>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</si>
  <si>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</si>
  <si>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</si>
  <si>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</si>
  <si>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</si>
  <si>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</si>
  <si>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</si>
  <si>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</si>
  <si>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</si>
  <si>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</si>
  <si>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</si>
  <si>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</si>
  <si>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</si>
  <si>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</si>
  <si>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</si>
  <si>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</si>
  <si>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</si>
  <si>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</si>
  <si>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</si>
  <si>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</si>
  <si>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</si>
  <si>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</si>
  <si>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</si>
  <si>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</si>
  <si>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</si>
  <si>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</si>
  <si>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</si>
  <si>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</si>
  <si>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</si>
  <si>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</si>
  <si>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</si>
  <si>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</si>
  <si>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</si>
  <si>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</si>
  <si>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</si>
  <si>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</si>
  <si>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</si>
  <si>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</si>
  <si>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</si>
  <si>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</si>
  <si>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</si>
  <si>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</si>
  <si>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</si>
  <si>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</si>
  <si>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</si>
  <si>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</si>
  <si>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</si>
  <si>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</si>
  <si>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</si>
  <si>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</si>
  <si>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</si>
  <si>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</si>
  <si>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</si>
  <si>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</si>
  <si>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</si>
  <si>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</si>
  <si>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</si>
  <si>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</si>
  <si>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</si>
  <si>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</si>
  <si>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</si>
  <si>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</si>
  <si>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</si>
  <si>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</si>
  <si>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</si>
  <si>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</si>
  <si>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</si>
  <si>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</si>
  <si>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</si>
  <si>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</si>
  <si>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</si>
  <si>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</si>
  <si>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</si>
  <si>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</si>
  <si>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</si>
  <si>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</si>
  <si>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</si>
  <si>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</si>
  <si>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</si>
  <si>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</si>
  <si>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</si>
  <si>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</si>
  <si>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</si>
  <si>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</si>
  <si>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</si>
  <si>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</si>
  <si>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</si>
  <si>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</si>
  <si>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</si>
  <si>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</si>
  <si>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</si>
  <si>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</si>
  <si>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</si>
  <si>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</si>
  <si>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</si>
  <si>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</si>
  <si>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</si>
  <si>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</si>
  <si>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</si>
  <si>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</si>
  <si>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</si>
  <si>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</si>
  <si>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</si>
  <si>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</si>
  <si>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</si>
  <si>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</si>
  <si>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</si>
  <si>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</si>
  <si>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</si>
  <si>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</si>
  <si>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</si>
  <si>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</si>
  <si>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</si>
  <si>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</si>
  <si>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</si>
  <si>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</si>
  <si>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</si>
  <si>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</si>
  <si>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</si>
  <si>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</si>
  <si>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</si>
  <si>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</si>
  <si>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</si>
  <si>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</si>
  <si>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</si>
  <si>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</si>
  <si>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</si>
  <si>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</si>
  <si>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</si>
  <si>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</si>
  <si>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</si>
  <si>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</si>
  <si>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</si>
  <si>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</si>
  <si>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</si>
  <si>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</si>
  <si>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</si>
  <si>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</si>
  <si>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</si>
  <si>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</si>
  <si>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</si>
  <si>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</si>
  <si>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</si>
  <si>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</si>
  <si>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</si>
  <si>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</si>
  <si>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</si>
  <si>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</si>
  <si>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</si>
  <si>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</si>
  <si>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</si>
  <si>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</si>
  <si>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</si>
  <si>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</si>
  <si>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</si>
  <si>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</si>
  <si>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</si>
  <si>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</si>
  <si>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</si>
  <si>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</si>
  <si>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</si>
  <si>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</si>
  <si>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</si>
  <si>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</si>
  <si>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</si>
  <si>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</si>
  <si>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</si>
  <si>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</si>
  <si>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</si>
  <si>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</si>
  <si>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</si>
  <si>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</si>
  <si>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</si>
  <si>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</si>
  <si>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</si>
  <si>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</si>
  <si>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</si>
  <si>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</si>
  <si>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</si>
  <si>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</si>
  <si>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</si>
  <si>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</si>
  <si>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</si>
  <si>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</si>
  <si>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</si>
  <si>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</si>
  <si>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</si>
  <si>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</si>
  <si>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</si>
  <si>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</si>
  <si>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</si>
  <si>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</si>
  <si>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</si>
  <si>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</si>
  <si>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</si>
  <si>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</si>
  <si>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</si>
  <si>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</si>
  <si>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</si>
  <si>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</si>
  <si>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</si>
  <si>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</si>
  <si>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</si>
  <si>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</si>
  <si>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</si>
  <si>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</si>
  <si>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</si>
  <si>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</si>
  <si>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</si>
  <si>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</si>
  <si>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</si>
  <si>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</si>
  <si>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</si>
  <si>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</si>
  <si>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1.9</t>
  </si>
  <si>
    <t xml:space="preserve">Đơn vị  báo cáo: </t>
  </si>
  <si>
    <t>Tổng số có điều kiện thi hành</t>
  </si>
  <si>
    <t>Tỷ lệ (xong + đình chỉ)/ Có điều kiện</t>
  </si>
  <si>
    <t>Đơn vị  báo cáo:</t>
  </si>
  <si>
    <t>Đơn vị tính: 1.000 đồng</t>
  </si>
  <si>
    <t>Nguyễn Thị Mai Hoa</t>
  </si>
  <si>
    <t>0</t>
  </si>
  <si>
    <t>Trần Hồng Quang</t>
  </si>
  <si>
    <t>Phạm Tiến Binh</t>
  </si>
  <si>
    <t xml:space="preserve">Lương Văn Lịch </t>
  </si>
  <si>
    <t xml:space="preserve"> Bùi Văn Dũng</t>
  </si>
  <si>
    <t xml:space="preserve"> Quản Văn Đức </t>
  </si>
  <si>
    <t xml:space="preserve"> Lê Thị Liên</t>
  </si>
  <si>
    <t xml:space="preserve"> Phùng Trọng Nghĩa</t>
  </si>
  <si>
    <t xml:space="preserve"> Bùi Đức Tiến</t>
  </si>
  <si>
    <t>1.10</t>
  </si>
  <si>
    <t xml:space="preserve"> Bùi Quang Minh</t>
  </si>
  <si>
    <t>1.11</t>
  </si>
  <si>
    <t>Ngô Văn Hòa</t>
  </si>
  <si>
    <t>1.12</t>
  </si>
  <si>
    <t xml:space="preserve"> Lê Thị Tuyết Thanh</t>
  </si>
  <si>
    <t>1.13</t>
  </si>
  <si>
    <t xml:space="preserve"> Nguyễn Trí Thành</t>
  </si>
  <si>
    <t>1.14</t>
  </si>
  <si>
    <t>Đinh Đức Quang</t>
  </si>
  <si>
    <t>1.15</t>
  </si>
  <si>
    <t xml:space="preserve"> Nguyễn Thị Mai Anh</t>
  </si>
  <si>
    <t>1.16</t>
  </si>
  <si>
    <t>Phan Thị Nhuyến</t>
  </si>
  <si>
    <t>1.17</t>
  </si>
  <si>
    <t>Lê Thị Minh Thúy</t>
  </si>
  <si>
    <t>Các Chi  cục THADS</t>
  </si>
  <si>
    <t xml:space="preserve"> H.An Dương</t>
  </si>
  <si>
    <t xml:space="preserve"> Bùi Văn Giả</t>
  </si>
  <si>
    <t xml:space="preserve"> Nguyễn Phi Hùng</t>
  </si>
  <si>
    <t xml:space="preserve">  Đỗ Khắc Oanh</t>
  </si>
  <si>
    <t>Trần Quốc Lập</t>
  </si>
  <si>
    <t xml:space="preserve"> Bùi Mạnh Hùng</t>
  </si>
  <si>
    <t xml:space="preserve"> Phùng Ngọc Huy</t>
  </si>
  <si>
    <t xml:space="preserve">Dương Tuấn Anh </t>
  </si>
  <si>
    <t xml:space="preserve"> H.An Lão</t>
  </si>
  <si>
    <t xml:space="preserve"> Phạm Văn Hùng</t>
  </si>
  <si>
    <t>Vũ Văn Biên</t>
  </si>
  <si>
    <t xml:space="preserve"> Trịnh Duy Hưng </t>
  </si>
  <si>
    <t>Trần Mạnh Cường</t>
  </si>
  <si>
    <t>Q.Đồ Sơn</t>
  </si>
  <si>
    <t xml:space="preserve"> Mai Thị Hà</t>
  </si>
  <si>
    <t>Đàm Xuân Thủy</t>
  </si>
  <si>
    <t xml:space="preserve"> Lê Viết Thắng</t>
  </si>
  <si>
    <t xml:space="preserve"> H.Bạch Long Vĩ</t>
  </si>
  <si>
    <t>Nguyễn Đồng Lai</t>
  </si>
  <si>
    <t>Trần Tăng Vấn</t>
  </si>
  <si>
    <t xml:space="preserve"> Q.Lê Chân</t>
  </si>
  <si>
    <t>Nguyễn Ngọc Hoàn</t>
  </si>
  <si>
    <t>Lương Duy Hiếu</t>
  </si>
  <si>
    <t>Đỗ Văn Thịnh</t>
  </si>
  <si>
    <t>5.4</t>
  </si>
  <si>
    <t>Phạm Thị Ngân Hoài</t>
  </si>
  <si>
    <t>5.5</t>
  </si>
  <si>
    <t>Vũ Thế Khương</t>
  </si>
  <si>
    <t>5.6</t>
  </si>
  <si>
    <t>Trần Thị Hương</t>
  </si>
  <si>
    <t>5.7</t>
  </si>
  <si>
    <t>Đỗ Thị Thanh Trà</t>
  </si>
  <si>
    <t>5.8</t>
  </si>
  <si>
    <t>Nguyễn Thị Phích</t>
  </si>
  <si>
    <t xml:space="preserve"> Q.Hải An</t>
  </si>
  <si>
    <t xml:space="preserve"> Nguyễn Văn Lai</t>
  </si>
  <si>
    <t>Ng.Thị Ph.Thảo</t>
  </si>
  <si>
    <t>Trịnh Quang Khánh</t>
  </si>
  <si>
    <t>Q. Hồng Bàng</t>
  </si>
  <si>
    <t>Nguyễn Tùng Ngọc</t>
  </si>
  <si>
    <t>Phạm Đăng Ngọc</t>
  </si>
  <si>
    <t>Nguyễn Trần Tuấn</t>
  </si>
  <si>
    <t>Nguyễn Công Tưởng</t>
  </si>
  <si>
    <t>Nguyễn Thị Hiền</t>
  </si>
  <si>
    <t>Trần Kim Thoa</t>
  </si>
  <si>
    <t>Nguyễn Thị Quế</t>
  </si>
  <si>
    <t xml:space="preserve"> Q.Kiến An</t>
  </si>
  <si>
    <t>8.1</t>
  </si>
  <si>
    <t xml:space="preserve"> Phạm Văn Nhất</t>
  </si>
  <si>
    <t>41</t>
  </si>
  <si>
    <t>8.2</t>
  </si>
  <si>
    <t xml:space="preserve"> Bùi Thị Mai</t>
  </si>
  <si>
    <t>142</t>
  </si>
  <si>
    <t xml:space="preserve"> H.Kiến Thụy</t>
  </si>
  <si>
    <t>9.1</t>
  </si>
  <si>
    <t>CHV  Phạm Văn Vơ</t>
  </si>
  <si>
    <t>9.2</t>
  </si>
  <si>
    <t>CHV Trần Đại Sỹ</t>
  </si>
  <si>
    <t>9.3</t>
  </si>
  <si>
    <t>CHV  Đỗ Thị Thành</t>
  </si>
  <si>
    <t>9.4</t>
  </si>
  <si>
    <t>CHV Hoàng Trọng Hiếu</t>
  </si>
  <si>
    <t>Q.Ngô Quyền</t>
  </si>
  <si>
    <t xml:space="preserve"> Hoàng Tiến Dũng</t>
  </si>
  <si>
    <t xml:space="preserve"> Phạm Văn Phúc</t>
  </si>
  <si>
    <t>Nguyễn Trường Giang</t>
  </si>
  <si>
    <t xml:space="preserve"> Nguyễn Thanh Hải</t>
  </si>
  <si>
    <t>Phạm Văn Tú</t>
  </si>
  <si>
    <t>10.7</t>
  </si>
  <si>
    <t>Mai Thị Hoa</t>
  </si>
  <si>
    <t>10.8</t>
  </si>
  <si>
    <t>Nguyễn Thị Diệp Anh</t>
  </si>
  <si>
    <t>10.9</t>
  </si>
  <si>
    <t xml:space="preserve"> Lê Văn Thụy</t>
  </si>
  <si>
    <t>10.10</t>
  </si>
  <si>
    <t>Đoàn Thị Minh Châu</t>
  </si>
  <si>
    <t xml:space="preserve"> H.Cát Hải</t>
  </si>
  <si>
    <t>11.1</t>
  </si>
  <si>
    <t>Nguyễn Tiến Dược</t>
  </si>
  <si>
    <t>11.2</t>
  </si>
  <si>
    <t xml:space="preserve"> Hồ Anh Văn</t>
  </si>
  <si>
    <t>11.3</t>
  </si>
  <si>
    <t>Phạm Thế Toàn</t>
  </si>
  <si>
    <t xml:space="preserve"> H.Tiên Lãng</t>
  </si>
  <si>
    <t>39</t>
  </si>
  <si>
    <t>34</t>
  </si>
  <si>
    <t xml:space="preserve"> Lê Văn Diên</t>
  </si>
  <si>
    <t>72</t>
  </si>
  <si>
    <t>52</t>
  </si>
  <si>
    <t xml:space="preserve"> H.Thủy Nguyên</t>
  </si>
  <si>
    <t>Nguyễn Thế Mạnh</t>
  </si>
  <si>
    <t xml:space="preserve"> Phạm Ngọc Phong</t>
  </si>
  <si>
    <t>Bùi Văn Châu</t>
  </si>
  <si>
    <t>Tạ Văn Quảng</t>
  </si>
  <si>
    <t xml:space="preserve"> Đỗ Văn Hoàng</t>
  </si>
  <si>
    <t>Nguyễn Thị Xuân Hoa</t>
  </si>
  <si>
    <t>Đinh Thị Quyên</t>
  </si>
  <si>
    <t>Kiều Thị Hạnh Nguyên</t>
  </si>
  <si>
    <t xml:space="preserve"> H.Vĩnh Bảo</t>
  </si>
  <si>
    <t>14.1</t>
  </si>
  <si>
    <t>Phạm Hồng Nguyện</t>
  </si>
  <si>
    <t>54</t>
  </si>
  <si>
    <t>14.2</t>
  </si>
  <si>
    <t>Trần Minh Đức</t>
  </si>
  <si>
    <t>76</t>
  </si>
  <si>
    <t>80</t>
  </si>
  <si>
    <t xml:space="preserve"> Q.Dương Kinh</t>
  </si>
  <si>
    <t>Thái Bá Sức</t>
  </si>
  <si>
    <t xml:space="preserve"> Tô Anh Dũng</t>
  </si>
  <si>
    <t>58</t>
  </si>
  <si>
    <t xml:space="preserve"> Đỗ Thị Thanh Thủy</t>
  </si>
  <si>
    <t>27</t>
  </si>
  <si>
    <t xml:space="preserve"> Lương Thanh Thủy</t>
  </si>
  <si>
    <t>38</t>
  </si>
  <si>
    <t xml:space="preserve"> Nguyễn Thị Thủy</t>
  </si>
  <si>
    <t>22</t>
  </si>
  <si>
    <t>Lương Văn Lịch</t>
  </si>
  <si>
    <t>Dương Tuấn Anh</t>
  </si>
  <si>
    <t>Hồng Bàng</t>
  </si>
  <si>
    <t>10.1</t>
  </si>
  <si>
    <t>10.3</t>
  </si>
  <si>
    <t>10.4</t>
  </si>
  <si>
    <t>10.5</t>
  </si>
  <si>
    <t>10.6</t>
  </si>
  <si>
    <t>280</t>
  </si>
  <si>
    <t>Đơn vị nhận báo cáo: Tổng cục</t>
  </si>
  <si>
    <r>
      <t xml:space="preserve">Đơn vị nhận báo cáo: </t>
    </r>
    <r>
      <rPr>
        <sz val="12"/>
        <rFont val="Times New Roman"/>
        <family val="1"/>
      </rPr>
      <t>Tổng cục</t>
    </r>
  </si>
  <si>
    <t>Trần Thị Minh</t>
  </si>
  <si>
    <t>Bùi Đức Tiến</t>
  </si>
  <si>
    <t>KT.CỤC TRƯỞNG</t>
  </si>
  <si>
    <t>PHÓ CỤC TRƯỞNG</t>
  </si>
  <si>
    <t>Cục Thi hành án dân sự TP Hải Phòng</t>
  </si>
  <si>
    <t>6.1</t>
  </si>
  <si>
    <t>6.2</t>
  </si>
  <si>
    <t>6.3</t>
  </si>
  <si>
    <t>6.4</t>
  </si>
  <si>
    <t>7.1</t>
  </si>
  <si>
    <t>7.2</t>
  </si>
  <si>
    <t>7.3</t>
  </si>
  <si>
    <t>7.4</t>
  </si>
  <si>
    <t>7.5</t>
  </si>
  <si>
    <t>7.6</t>
  </si>
  <si>
    <t>7.7</t>
  </si>
  <si>
    <t>7.8</t>
  </si>
  <si>
    <t>Hoàng Vân Anh</t>
  </si>
  <si>
    <t>10.2</t>
  </si>
  <si>
    <t>108</t>
  </si>
  <si>
    <t>79</t>
  </si>
  <si>
    <t>36</t>
  </si>
  <si>
    <t>132</t>
  </si>
  <si>
    <t>94</t>
  </si>
  <si>
    <t>62</t>
  </si>
  <si>
    <t>127</t>
  </si>
  <si>
    <t>88</t>
  </si>
  <si>
    <t>112</t>
  </si>
  <si>
    <t>8 tháng/ năm 2016</t>
  </si>
  <si>
    <t>Phạm Thị Thu Hiền</t>
  </si>
  <si>
    <t>Nguyễn Văn Thảnh</t>
  </si>
  <si>
    <t>6.5</t>
  </si>
  <si>
    <t>Hải Phòng, ngày 02 tháng 6 năm 2016</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</si>
</sst>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Red]#,##0"/>
    <numFmt numFmtId="211" formatCode="0;[Red]0"/>
    <numFmt numFmtId="212" formatCode="###\ ###\ ###"/>
    <numFmt numFmtId="213" formatCode="0_);\(0\)"/>
    <numFmt numFmtId="214" formatCode="###\ ###\ "/>
    <numFmt numFmtId="215" formatCode="#,##0.00;[Red]#,##0.00"/>
  </numFmts>
  <fonts count="149">
    <font>
      <sz val="12"/>
      <name val="Times New Roman"/>
      <family val="1"/>
    </font>
    <font>
      <sz val="12"/>
      <name val=".VnTime"/>
      <family val="2"/>
    </font>
    <font>
      <sz val="9"/>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2"/>
      <color indexed="8"/>
      <name val="Times New Roman"/>
      <family val="1"/>
    </font>
    <font>
      <sz val="9"/>
      <color indexed="10"/>
      <name val="Times New Roman"/>
      <family val="1"/>
    </font>
    <font>
      <sz val="9"/>
      <color indexed="8"/>
      <name val="Times New Roman"/>
      <family val="1"/>
    </font>
    <font>
      <b/>
      <sz val="8"/>
      <name val="Tahoma"/>
      <family val="2"/>
    </font>
    <font>
      <sz val="8"/>
      <name val="Tahoma"/>
      <family val="2"/>
    </font>
    <font>
      <sz val="12"/>
      <color indexed="16"/>
      <name val="Times New Roman"/>
      <family val="1"/>
    </font>
    <font>
      <i/>
      <sz val="11"/>
      <color indexed="10"/>
      <name val="Times New Roman"/>
      <family val="1"/>
    </font>
    <font>
      <i/>
      <sz val="8"/>
      <color indexed="10"/>
      <name val="Times New Roman"/>
      <family val="1"/>
    </font>
    <font>
      <sz val="9"/>
      <color indexed="10"/>
      <name val=".VnTime"/>
      <family val="2"/>
    </font>
    <font>
      <sz val="13"/>
      <color indexed="10"/>
      <name val="Times New Roman"/>
      <family val="1"/>
    </font>
    <font>
      <b/>
      <sz val="14"/>
      <color indexed="10"/>
      <name val="Times New Roman"/>
      <family val="1"/>
    </font>
    <font>
      <sz val="9"/>
      <color indexed="17"/>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8"/>
      <name val="Times New Roman"/>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5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color indexed="63"/>
      </bottom>
    </border>
    <border>
      <left style="hair"/>
      <right>
        <color indexed="63"/>
      </right>
      <top style="hair"/>
      <bottom style="thin"/>
    </border>
    <border>
      <left>
        <color indexed="63"/>
      </left>
      <right>
        <color indexed="63"/>
      </right>
      <top style="hair"/>
      <bottom style="thin"/>
    </border>
    <border>
      <left style="double"/>
      <right>
        <color indexed="63"/>
      </right>
      <top style="thin"/>
      <bottom style="thin"/>
    </border>
    <border>
      <left style="thin"/>
      <right style="thin"/>
      <top style="double"/>
      <bottom style="thin"/>
    </border>
    <border>
      <left>
        <color indexed="63"/>
      </left>
      <right>
        <color indexed="63"/>
      </right>
      <top>
        <color indexed="63"/>
      </top>
      <bottom style="double"/>
    </border>
    <border>
      <left style="thin"/>
      <right style="double"/>
      <top style="double"/>
      <bottom style="thin"/>
    </border>
    <border>
      <left style="double"/>
      <right style="thin"/>
      <top style="thin"/>
      <bottom style="thin"/>
    </border>
    <border>
      <left style="double"/>
      <right style="thin"/>
      <top style="double"/>
      <bottom style="thin"/>
    </border>
  </borders>
  <cellStyleXfs count="1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1"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131"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131"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131"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131" fillId="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31"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131" fillId="10"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31" fillId="12"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3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31" fillId="1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131" fillId="16"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31"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32" fillId="19"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132" fillId="21"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132"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132"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132"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132"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132"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132"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132" fillId="30"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132" fillId="3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132" fillId="3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132" fillId="3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133" fillId="36"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134" fillId="37" borderId="1" applyNumberFormat="0" applyAlignment="0" applyProtection="0"/>
    <xf numFmtId="0" fontId="40" fillId="38" borderId="2" applyNumberFormat="0" applyAlignment="0" applyProtection="0"/>
    <xf numFmtId="0" fontId="40" fillId="38" borderId="2" applyNumberFormat="0" applyAlignment="0" applyProtection="0"/>
    <xf numFmtId="0" fontId="135" fillId="39" borderId="3" applyNumberFormat="0" applyAlignment="0" applyProtection="0"/>
    <xf numFmtId="0" fontId="41" fillId="40" borderId="4" applyNumberFormat="0" applyAlignment="0" applyProtection="0"/>
    <xf numFmtId="0" fontId="41"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7"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6"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137" fillId="41"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138" fillId="0" borderId="5"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139" fillId="0" borderId="7"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140" fillId="0" borderId="9" applyNumberFormat="0" applyFill="0" applyAlignment="0" applyProtection="0"/>
    <xf numFmtId="0" fontId="46" fillId="0" borderId="10" applyNumberFormat="0" applyFill="0" applyAlignment="0" applyProtection="0"/>
    <xf numFmtId="0" fontId="46" fillId="0" borderId="10" applyNumberFormat="0" applyFill="0" applyAlignment="0" applyProtection="0"/>
    <xf numFmtId="0" fontId="14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1" fillId="0" borderId="0" applyNumberFormat="0" applyFill="0" applyBorder="0" applyAlignment="0" applyProtection="0"/>
    <xf numFmtId="0" fontId="141" fillId="42" borderId="1" applyNumberFormat="0" applyAlignment="0" applyProtection="0"/>
    <xf numFmtId="0" fontId="47" fillId="9" borderId="2" applyNumberFormat="0" applyAlignment="0" applyProtection="0"/>
    <xf numFmtId="0" fontId="47" fillId="9" borderId="2" applyNumberFormat="0" applyAlignment="0" applyProtection="0"/>
    <xf numFmtId="0" fontId="142" fillId="0" borderId="11"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143" fillId="43"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0" fillId="45" borderId="13" applyNumberFormat="0" applyFont="0" applyAlignment="0" applyProtection="0"/>
    <xf numFmtId="0" fontId="37" fillId="46" borderId="14" applyNumberFormat="0" applyFont="0" applyAlignment="0" applyProtection="0"/>
    <xf numFmtId="0" fontId="37" fillId="46" borderId="14" applyNumberFormat="0" applyFont="0" applyAlignment="0" applyProtection="0"/>
    <xf numFmtId="0" fontId="144" fillId="37" borderId="15" applyNumberFormat="0" applyAlignment="0" applyProtection="0"/>
    <xf numFmtId="0" fontId="50" fillId="38" borderId="16" applyNumberFormat="0" applyAlignment="0" applyProtection="0"/>
    <xf numFmtId="0" fontId="50" fillId="38" borderId="16" applyNumberFormat="0" applyAlignment="0" applyProtection="0"/>
    <xf numFmtId="9" fontId="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45"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46" fillId="0" borderId="17"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147"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cellStyleXfs>
  <cellXfs count="979">
    <xf numFmtId="0" fontId="0" fillId="0" borderId="0" xfId="0" applyAlignment="1">
      <alignment/>
    </xf>
    <xf numFmtId="49" fontId="0" fillId="0" borderId="0" xfId="0" applyNumberFormat="1" applyFill="1" applyAlignment="1">
      <alignment/>
    </xf>
    <xf numFmtId="49" fontId="10" fillId="0" borderId="0" xfId="96" applyNumberFormat="1" applyFont="1" applyBorder="1" applyAlignment="1">
      <alignment vertical="center"/>
    </xf>
    <xf numFmtId="49" fontId="10" fillId="0" borderId="19" xfId="96" applyNumberFormat="1" applyFont="1" applyBorder="1" applyAlignment="1">
      <alignment vertical="center"/>
    </xf>
    <xf numFmtId="49" fontId="6" fillId="0" borderId="20" xfId="0" applyNumberFormat="1" applyFont="1" applyFill="1" applyBorder="1" applyAlignment="1">
      <alignment horizontal="left"/>
    </xf>
    <xf numFmtId="49" fontId="8"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6" fillId="0" borderId="22" xfId="0" applyNumberFormat="1" applyFont="1" applyFill="1" applyBorder="1" applyAlignment="1">
      <alignment/>
    </xf>
    <xf numFmtId="49" fontId="6"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xf>
    <xf numFmtId="49" fontId="7" fillId="0" borderId="20" xfId="0" applyNumberFormat="1" applyFont="1" applyFill="1" applyBorder="1" applyAlignment="1">
      <alignment horizontal="left"/>
    </xf>
    <xf numFmtId="49" fontId="17" fillId="0" borderId="20" xfId="0" applyNumberFormat="1" applyFont="1" applyFill="1" applyBorder="1" applyAlignment="1">
      <alignment horizontal="center" vertical="center" wrapText="1"/>
    </xf>
    <xf numFmtId="49" fontId="7" fillId="0" borderId="23" xfId="0" applyNumberFormat="1" applyFont="1" applyFill="1" applyBorder="1" applyAlignment="1">
      <alignment horizontal="center"/>
    </xf>
    <xf numFmtId="49" fontId="13" fillId="0" borderId="20" xfId="0" applyNumberFormat="1" applyFont="1" applyFill="1" applyBorder="1" applyAlignment="1">
      <alignment horizontal="left"/>
    </xf>
    <xf numFmtId="49" fontId="6" fillId="0" borderId="20" xfId="0" applyNumberFormat="1" applyFont="1" applyFill="1" applyBorder="1" applyAlignment="1">
      <alignment horizontal="center"/>
    </xf>
    <xf numFmtId="49" fontId="8" fillId="0" borderId="20" xfId="0" applyNumberFormat="1" applyFont="1" applyFill="1" applyBorder="1" applyAlignment="1">
      <alignment horizontal="center"/>
    </xf>
    <xf numFmtId="49" fontId="18" fillId="0" borderId="20" xfId="0" applyNumberFormat="1" applyFont="1" applyFill="1" applyBorder="1" applyAlignment="1">
      <alignment horizontal="center"/>
    </xf>
    <xf numFmtId="49" fontId="21" fillId="0" borderId="0" xfId="0" applyNumberFormat="1" applyFont="1" applyFill="1" applyAlignment="1">
      <alignment/>
    </xf>
    <xf numFmtId="49" fontId="23" fillId="0" borderId="0" xfId="0" applyNumberFormat="1" applyFont="1" applyFill="1" applyAlignment="1">
      <alignment/>
    </xf>
    <xf numFmtId="49" fontId="4" fillId="0" borderId="0" xfId="0" applyNumberFormat="1" applyFont="1" applyFill="1" applyAlignment="1">
      <alignment/>
    </xf>
    <xf numFmtId="49" fontId="14" fillId="0" borderId="0" xfId="0" applyNumberFormat="1" applyFont="1" applyFill="1" applyAlignment="1">
      <alignment wrapText="1"/>
    </xf>
    <xf numFmtId="49" fontId="5" fillId="0" borderId="0" xfId="0" applyNumberFormat="1" applyFont="1" applyFill="1" applyAlignment="1">
      <alignment/>
    </xf>
    <xf numFmtId="49" fontId="4" fillId="0" borderId="0" xfId="0" applyNumberFormat="1" applyFont="1" applyFill="1" applyAlignment="1">
      <alignment wrapText="1"/>
    </xf>
    <xf numFmtId="49" fontId="6" fillId="0" borderId="20" xfId="0" applyNumberFormat="1" applyFont="1" applyFill="1" applyBorder="1" applyAlignment="1">
      <alignment/>
    </xf>
    <xf numFmtId="49" fontId="16" fillId="0" borderId="0" xfId="0" applyNumberFormat="1" applyFont="1" applyFill="1" applyBorder="1" applyAlignment="1">
      <alignment vertical="center" wrapText="1"/>
    </xf>
    <xf numFmtId="49" fontId="19" fillId="0" borderId="0" xfId="0" applyNumberFormat="1" applyFont="1" applyFill="1" applyAlignment="1">
      <alignment/>
    </xf>
    <xf numFmtId="49" fontId="24"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5" fillId="47" borderId="20" xfId="137" applyNumberFormat="1" applyFont="1" applyFill="1" applyBorder="1" applyAlignment="1" applyProtection="1">
      <alignment horizontal="center" vertical="center"/>
      <protection/>
    </xf>
    <xf numFmtId="49" fontId="0" fillId="47" borderId="0" xfId="138" applyNumberFormat="1" applyFont="1" applyFill="1" applyBorder="1" applyAlignment="1">
      <alignment horizontal="left"/>
      <protection/>
    </xf>
    <xf numFmtId="49" fontId="0" fillId="0" borderId="0" xfId="138" applyNumberFormat="1" applyFont="1">
      <alignment/>
      <protection/>
    </xf>
    <xf numFmtId="49" fontId="0" fillId="0" borderId="0" xfId="138" applyNumberFormat="1">
      <alignment/>
      <protection/>
    </xf>
    <xf numFmtId="49" fontId="0" fillId="0" borderId="0" xfId="138" applyNumberFormat="1" applyFont="1" applyAlignment="1">
      <alignment horizontal="left"/>
      <protection/>
    </xf>
    <xf numFmtId="49" fontId="0" fillId="0" borderId="0" xfId="138" applyNumberFormat="1" applyFont="1" applyBorder="1" applyAlignment="1">
      <alignment wrapText="1"/>
      <protection/>
    </xf>
    <xf numFmtId="49" fontId="16" fillId="0" borderId="0" xfId="138" applyNumberFormat="1" applyFont="1" applyAlignment="1">
      <alignment/>
      <protection/>
    </xf>
    <xf numFmtId="49" fontId="0" fillId="0" borderId="0" xfId="138" applyNumberFormat="1" applyFont="1" applyBorder="1" applyAlignment="1">
      <alignment horizontal="left" wrapText="1"/>
      <protection/>
    </xf>
    <xf numFmtId="49" fontId="19" fillId="0" borderId="0" xfId="138" applyNumberFormat="1" applyFont="1" applyAlignment="1">
      <alignment horizontal="left"/>
      <protection/>
    </xf>
    <xf numFmtId="49" fontId="0" fillId="0" borderId="0" xfId="138" applyNumberFormat="1" applyFont="1" applyFill="1" applyAlignment="1">
      <alignment/>
      <protection/>
    </xf>
    <xf numFmtId="49" fontId="0" fillId="0" borderId="0" xfId="138" applyNumberFormat="1" applyFont="1" applyFill="1" applyAlignment="1">
      <alignment horizontal="center"/>
      <protection/>
    </xf>
    <xf numFmtId="49" fontId="0" fillId="0" borderId="0" xfId="138" applyNumberFormat="1" applyFont="1" applyAlignment="1">
      <alignment horizontal="center"/>
      <protection/>
    </xf>
    <xf numFmtId="49" fontId="0" fillId="0" borderId="0" xfId="138" applyNumberFormat="1" applyFont="1" applyFill="1">
      <alignment/>
      <protection/>
    </xf>
    <xf numFmtId="49" fontId="14" fillId="47" borderId="22" xfId="138" applyNumberFormat="1" applyFont="1" applyFill="1" applyBorder="1" applyAlignment="1">
      <alignment/>
      <protection/>
    </xf>
    <xf numFmtId="49" fontId="8" fillId="0" borderId="20" xfId="138" applyNumberFormat="1" applyFont="1" applyFill="1" applyBorder="1" applyAlignment="1">
      <alignment horizontal="center" vertical="center" wrapText="1"/>
      <protection/>
    </xf>
    <xf numFmtId="49" fontId="54" fillId="48" borderId="20" xfId="138" applyNumberFormat="1" applyFont="1" applyFill="1" applyBorder="1" applyAlignment="1">
      <alignment horizontal="center"/>
      <protection/>
    </xf>
    <xf numFmtId="49" fontId="8" fillId="0" borderId="21" xfId="138" applyNumberFormat="1" applyFont="1" applyFill="1" applyBorder="1" applyAlignment="1">
      <alignment horizontal="center" vertical="center" wrapText="1"/>
      <protection/>
    </xf>
    <xf numFmtId="49" fontId="8" fillId="0" borderId="20" xfId="138" applyNumberFormat="1" applyFont="1" applyBorder="1" applyAlignment="1">
      <alignment horizontal="center" vertical="center" wrapText="1"/>
      <protection/>
    </xf>
    <xf numFmtId="49" fontId="55" fillId="0" borderId="20" xfId="138" applyNumberFormat="1" applyFont="1" applyFill="1" applyBorder="1" applyAlignment="1">
      <alignment horizontal="center" vertical="center" wrapText="1"/>
      <protection/>
    </xf>
    <xf numFmtId="49" fontId="19" fillId="0" borderId="20" xfId="138" applyNumberFormat="1" applyFont="1" applyBorder="1" applyAlignment="1">
      <alignment horizontal="center" vertical="center"/>
      <protection/>
    </xf>
    <xf numFmtId="3" fontId="0" fillId="0" borderId="20" xfId="138" applyNumberFormat="1" applyFont="1" applyBorder="1" applyAlignment="1">
      <alignment horizontal="center" vertical="center"/>
      <protection/>
    </xf>
    <xf numFmtId="3" fontId="0" fillId="0" borderId="20" xfId="138" applyNumberFormat="1" applyFont="1" applyBorder="1" applyAlignment="1">
      <alignment vertical="center"/>
      <protection/>
    </xf>
    <xf numFmtId="49" fontId="0" fillId="0" borderId="0" xfId="138" applyNumberFormat="1" applyAlignment="1">
      <alignment vertical="center"/>
      <protection/>
    </xf>
    <xf numFmtId="3" fontId="53" fillId="3" borderId="20" xfId="138" applyNumberFormat="1" applyFont="1" applyFill="1" applyBorder="1" applyAlignment="1">
      <alignment vertical="center"/>
      <protection/>
    </xf>
    <xf numFmtId="3" fontId="58" fillId="3" borderId="20" xfId="138" applyNumberFormat="1" applyFont="1" applyFill="1" applyBorder="1" applyAlignment="1">
      <alignment vertical="center"/>
      <protection/>
    </xf>
    <xf numFmtId="49" fontId="59" fillId="0" borderId="20" xfId="138" applyNumberFormat="1" applyFont="1" applyBorder="1" applyAlignment="1">
      <alignment horizontal="center" vertical="center"/>
      <protection/>
    </xf>
    <xf numFmtId="3" fontId="26" fillId="44" borderId="20" xfId="138" applyNumberFormat="1" applyFont="1" applyFill="1" applyBorder="1" applyAlignment="1">
      <alignment vertical="center"/>
      <protection/>
    </xf>
    <xf numFmtId="3" fontId="4" fillId="48" borderId="20" xfId="138" applyNumberFormat="1" applyFont="1" applyFill="1" applyBorder="1" applyAlignment="1">
      <alignment horizontal="center" vertical="center"/>
      <protection/>
    </xf>
    <xf numFmtId="3" fontId="4" fillId="48" borderId="20" xfId="138" applyNumberFormat="1" applyFont="1" applyFill="1" applyBorder="1" applyAlignment="1">
      <alignment vertical="center"/>
      <protection/>
    </xf>
    <xf numFmtId="49" fontId="8" fillId="44" borderId="20" xfId="138" applyNumberFormat="1" applyFont="1" applyFill="1" applyBorder="1" applyAlignment="1">
      <alignment horizontal="center" vertical="center"/>
      <protection/>
    </xf>
    <xf numFmtId="49" fontId="8" fillId="44" borderId="20" xfId="138" applyNumberFormat="1" applyFont="1" applyFill="1" applyBorder="1" applyAlignment="1">
      <alignment horizontal="left" vertical="center"/>
      <protection/>
    </xf>
    <xf numFmtId="3" fontId="29" fillId="48" borderId="20" xfId="138" applyNumberFormat="1" applyFont="1" applyFill="1" applyBorder="1" applyAlignment="1">
      <alignment vertical="center"/>
      <protection/>
    </xf>
    <xf numFmtId="3" fontId="29" fillId="0" borderId="20" xfId="138" applyNumberFormat="1" applyFont="1" applyFill="1" applyBorder="1" applyAlignment="1">
      <alignment vertical="center"/>
      <protection/>
    </xf>
    <xf numFmtId="9" fontId="0" fillId="0" borderId="0" xfId="148" applyFont="1" applyAlignment="1">
      <alignment vertical="center"/>
    </xf>
    <xf numFmtId="49" fontId="8" fillId="44" borderId="23" xfId="138" applyNumberFormat="1" applyFont="1" applyFill="1" applyBorder="1" applyAlignment="1">
      <alignment horizontal="center" vertical="center"/>
      <protection/>
    </xf>
    <xf numFmtId="3" fontId="26" fillId="44" borderId="20" xfId="138" applyNumberFormat="1" applyFont="1" applyFill="1" applyBorder="1" applyAlignment="1">
      <alignment vertical="center"/>
      <protection/>
    </xf>
    <xf numFmtId="49" fontId="5" fillId="0" borderId="20" xfId="138" applyNumberFormat="1" applyFont="1" applyBorder="1" applyAlignment="1">
      <alignment horizontal="center" vertical="center"/>
      <protection/>
    </xf>
    <xf numFmtId="49" fontId="5" fillId="47" borderId="20" xfId="138" applyNumberFormat="1" applyFont="1" applyFill="1" applyBorder="1" applyAlignment="1">
      <alignment horizontal="left" vertical="center"/>
      <protection/>
    </xf>
    <xf numFmtId="49" fontId="6" fillId="47" borderId="20" xfId="138" applyNumberFormat="1" applyFont="1" applyFill="1" applyBorder="1" applyAlignment="1">
      <alignment horizontal="left" vertical="center"/>
      <protection/>
    </xf>
    <xf numFmtId="3" fontId="29" fillId="0" borderId="20" xfId="139" applyNumberFormat="1" applyFont="1" applyFill="1" applyBorder="1" applyAlignment="1">
      <alignment vertical="center"/>
      <protection/>
    </xf>
    <xf numFmtId="49" fontId="21" fillId="0" borderId="0" xfId="138" applyNumberFormat="1" applyFont="1" applyAlignment="1">
      <alignment vertical="center"/>
      <protection/>
    </xf>
    <xf numFmtId="49" fontId="5" fillId="47" borderId="20" xfId="138" applyNumberFormat="1" applyFont="1" applyFill="1" applyBorder="1" applyAlignment="1">
      <alignment horizontal="left" vertical="center"/>
      <protection/>
    </xf>
    <xf numFmtId="3" fontId="29" fillId="0" borderId="20" xfId="139" applyNumberFormat="1" applyFont="1" applyFill="1" applyBorder="1" applyAlignment="1">
      <alignment horizontal="center" vertical="center"/>
      <protection/>
    </xf>
    <xf numFmtId="49" fontId="0" fillId="0" borderId="0" xfId="138" applyNumberFormat="1" applyFill="1">
      <alignment/>
      <protection/>
    </xf>
    <xf numFmtId="49" fontId="21" fillId="0" borderId="0" xfId="138" applyNumberFormat="1" applyFont="1">
      <alignment/>
      <protection/>
    </xf>
    <xf numFmtId="49" fontId="29" fillId="0" borderId="0" xfId="138" applyNumberFormat="1" applyFont="1" applyFill="1" applyBorder="1" applyAlignment="1">
      <alignment horizontal="center" wrapText="1"/>
      <protection/>
    </xf>
    <xf numFmtId="49" fontId="60" fillId="0" borderId="0" xfId="138" applyNumberFormat="1" applyFont="1" applyBorder="1">
      <alignment/>
      <protection/>
    </xf>
    <xf numFmtId="49" fontId="61" fillId="0" borderId="0" xfId="138" applyNumberFormat="1" applyFont="1">
      <alignment/>
      <protection/>
    </xf>
    <xf numFmtId="49" fontId="1" fillId="0" borderId="0" xfId="138" applyNumberFormat="1" applyFont="1">
      <alignment/>
      <protection/>
    </xf>
    <xf numFmtId="9" fontId="1" fillId="0" borderId="0" xfId="148" applyFont="1" applyAlignment="1">
      <alignment/>
    </xf>
    <xf numFmtId="49" fontId="62" fillId="0" borderId="0" xfId="138" applyNumberFormat="1" applyFont="1" applyBorder="1">
      <alignment/>
      <protection/>
    </xf>
    <xf numFmtId="49" fontId="26" fillId="0" borderId="0" xfId="138" applyNumberFormat="1" applyFont="1" applyBorder="1" applyAlignment="1">
      <alignment horizontal="center" wrapText="1"/>
      <protection/>
    </xf>
    <xf numFmtId="49" fontId="26" fillId="0" borderId="0" xfId="138" applyNumberFormat="1" applyFont="1" applyFill="1" applyBorder="1" applyAlignment="1">
      <alignment horizontal="center" wrapText="1"/>
      <protection/>
    </xf>
    <xf numFmtId="49" fontId="63" fillId="0" borderId="0" xfId="138" applyNumberFormat="1" applyFont="1" applyBorder="1">
      <alignment/>
      <protection/>
    </xf>
    <xf numFmtId="49" fontId="64" fillId="0" borderId="0" xfId="138" applyNumberFormat="1" applyFont="1" applyBorder="1" applyAlignment="1">
      <alignment wrapText="1"/>
      <protection/>
    </xf>
    <xf numFmtId="49" fontId="3" fillId="0" borderId="0" xfId="138" applyNumberFormat="1" applyFont="1" applyBorder="1">
      <alignment/>
      <protection/>
    </xf>
    <xf numFmtId="49" fontId="41" fillId="0" borderId="0" xfId="138" applyNumberFormat="1" applyFont="1" applyBorder="1" applyAlignment="1">
      <alignment horizontal="center" wrapText="1"/>
      <protection/>
    </xf>
    <xf numFmtId="49" fontId="41" fillId="0" borderId="0" xfId="138" applyNumberFormat="1" applyFont="1" applyFill="1" applyBorder="1" applyAlignment="1">
      <alignment horizontal="center" wrapText="1"/>
      <protection/>
    </xf>
    <xf numFmtId="49" fontId="65" fillId="0" borderId="0" xfId="138" applyNumberFormat="1" applyFont="1" applyBorder="1">
      <alignment/>
      <protection/>
    </xf>
    <xf numFmtId="49" fontId="29" fillId="0" borderId="0" xfId="138" applyNumberFormat="1" applyFont="1">
      <alignment/>
      <protection/>
    </xf>
    <xf numFmtId="49" fontId="29" fillId="0" borderId="0" xfId="138" applyNumberFormat="1" applyFont="1" applyFill="1">
      <alignment/>
      <protection/>
    </xf>
    <xf numFmtId="49" fontId="29" fillId="47" borderId="0" xfId="138" applyNumberFormat="1" applyFont="1" applyFill="1">
      <alignment/>
      <protection/>
    </xf>
    <xf numFmtId="0" fontId="26" fillId="0" borderId="0" xfId="138" applyFont="1" applyAlignment="1">
      <alignment horizontal="center"/>
      <protection/>
    </xf>
    <xf numFmtId="49" fontId="26" fillId="47" borderId="0" xfId="138" applyNumberFormat="1" applyFont="1" applyFill="1" applyAlignment="1">
      <alignment horizontal="center"/>
      <protection/>
    </xf>
    <xf numFmtId="0" fontId="67" fillId="0" borderId="0" xfId="138" applyFont="1" applyAlignment="1">
      <alignment/>
      <protection/>
    </xf>
    <xf numFmtId="0" fontId="4" fillId="0" borderId="0" xfId="138" applyFont="1" applyAlignment="1">
      <alignment/>
      <protection/>
    </xf>
    <xf numFmtId="49" fontId="32" fillId="0" borderId="0" xfId="138" applyNumberFormat="1" applyFont="1">
      <alignment/>
      <protection/>
    </xf>
    <xf numFmtId="3" fontId="0" fillId="0" borderId="0" xfId="138" applyNumberFormat="1" applyFont="1" applyFill="1">
      <alignment/>
      <protection/>
    </xf>
    <xf numFmtId="49" fontId="4" fillId="0" borderId="0" xfId="138" applyNumberFormat="1" applyFont="1" applyFill="1" applyAlignment="1">
      <alignment wrapText="1"/>
      <protection/>
    </xf>
    <xf numFmtId="49" fontId="0" fillId="0" borderId="0" xfId="138" applyNumberFormat="1" applyFont="1" applyFill="1" applyBorder="1" applyAlignment="1">
      <alignment/>
      <protection/>
    </xf>
    <xf numFmtId="49" fontId="0" fillId="0" borderId="0" xfId="138" applyNumberFormat="1" applyFont="1" applyFill="1" applyBorder="1">
      <alignment/>
      <protection/>
    </xf>
    <xf numFmtId="49" fontId="20" fillId="0" borderId="22" xfId="138" applyNumberFormat="1" applyFont="1" applyFill="1" applyBorder="1" applyAlignment="1">
      <alignment/>
      <protection/>
    </xf>
    <xf numFmtId="49" fontId="6" fillId="0" borderId="22" xfId="138" applyNumberFormat="1" applyFont="1" applyFill="1" applyBorder="1" applyAlignment="1">
      <alignment horizontal="center"/>
      <protection/>
    </xf>
    <xf numFmtId="49" fontId="0" fillId="0" borderId="0" xfId="138" applyNumberFormat="1" applyFill="1" applyBorder="1">
      <alignment/>
      <protection/>
    </xf>
    <xf numFmtId="49" fontId="7" fillId="0" borderId="20" xfId="138" applyNumberFormat="1" applyFont="1" applyFill="1" applyBorder="1" applyAlignment="1">
      <alignment horizontal="center" vertical="center" wrapText="1"/>
      <protection/>
    </xf>
    <xf numFmtId="49" fontId="20" fillId="0" borderId="20" xfId="138" applyNumberFormat="1" applyFont="1" applyFill="1" applyBorder="1" applyAlignment="1">
      <alignment horizontal="center" vertical="center" wrapText="1"/>
      <protection/>
    </xf>
    <xf numFmtId="3" fontId="30" fillId="3" borderId="20" xfId="138" applyNumberFormat="1" applyFont="1" applyFill="1" applyBorder="1" applyAlignment="1">
      <alignment horizontal="center" vertical="center" wrapText="1"/>
      <protection/>
    </xf>
    <xf numFmtId="3" fontId="70" fillId="3" borderId="20" xfId="138" applyNumberFormat="1" applyFont="1" applyFill="1" applyBorder="1" applyAlignment="1">
      <alignment horizontal="center" vertical="center" wrapText="1"/>
      <protection/>
    </xf>
    <xf numFmtId="3" fontId="7" fillId="44" borderId="20" xfId="138" applyNumberFormat="1" applyFont="1" applyFill="1" applyBorder="1" applyAlignment="1">
      <alignment horizontal="center" vertical="center" wrapText="1"/>
      <protection/>
    </xf>
    <xf numFmtId="49" fontId="8" fillId="0" borderId="20" xfId="138" applyNumberFormat="1" applyFont="1" applyFill="1" applyBorder="1" applyAlignment="1">
      <alignment horizontal="center"/>
      <protection/>
    </xf>
    <xf numFmtId="49" fontId="8" fillId="0" borderId="20" xfId="138" applyNumberFormat="1" applyFont="1" applyFill="1" applyBorder="1" applyAlignment="1">
      <alignment horizontal="left"/>
      <protection/>
    </xf>
    <xf numFmtId="3" fontId="6" fillId="44" borderId="20" xfId="138" applyNumberFormat="1" applyFont="1" applyFill="1" applyBorder="1" applyAlignment="1">
      <alignment horizontal="center" vertical="center" wrapText="1"/>
      <protection/>
    </xf>
    <xf numFmtId="3" fontId="6" fillId="0" borderId="20" xfId="138" applyNumberFormat="1" applyFont="1" applyFill="1" applyBorder="1" applyAlignment="1">
      <alignment horizontal="center" vertical="center" wrapText="1"/>
      <protection/>
    </xf>
    <xf numFmtId="9" fontId="0" fillId="0" borderId="0" xfId="148" applyFont="1" applyFill="1" applyAlignment="1">
      <alignment/>
    </xf>
    <xf numFmtId="49" fontId="8" fillId="44" borderId="23" xfId="138" applyNumberFormat="1" applyFont="1" applyFill="1" applyBorder="1" applyAlignment="1">
      <alignment horizontal="center"/>
      <protection/>
    </xf>
    <xf numFmtId="49" fontId="8" fillId="44" borderId="20" xfId="138" applyNumberFormat="1" applyFont="1" applyFill="1" applyBorder="1" applyAlignment="1">
      <alignment horizontal="left"/>
      <protection/>
    </xf>
    <xf numFmtId="49" fontId="5" fillId="0" borderId="23" xfId="138" applyNumberFormat="1" applyFont="1" applyFill="1" applyBorder="1" applyAlignment="1">
      <alignment horizontal="center"/>
      <protection/>
    </xf>
    <xf numFmtId="49" fontId="5" fillId="47" borderId="20" xfId="138" applyNumberFormat="1" applyFont="1" applyFill="1" applyBorder="1" applyAlignment="1">
      <alignment horizontal="left"/>
      <protection/>
    </xf>
    <xf numFmtId="3" fontId="6" fillId="47" borderId="20" xfId="138" applyNumberFormat="1" applyFont="1" applyFill="1" applyBorder="1" applyAlignment="1">
      <alignment horizontal="center" vertical="center" wrapText="1"/>
      <protection/>
    </xf>
    <xf numFmtId="49" fontId="6" fillId="47" borderId="20" xfId="138" applyNumberFormat="1" applyFont="1" applyFill="1" applyBorder="1" applyAlignment="1">
      <alignment horizontal="left"/>
      <protection/>
    </xf>
    <xf numFmtId="49" fontId="7" fillId="0" borderId="19" xfId="138" applyNumberFormat="1" applyFont="1" applyFill="1" applyBorder="1" applyAlignment="1">
      <alignment horizontal="center"/>
      <protection/>
    </xf>
    <xf numFmtId="49" fontId="7" fillId="0" borderId="19" xfId="138" applyNumberFormat="1" applyFont="1" applyFill="1" applyBorder="1" applyAlignment="1">
      <alignment horizontal="left"/>
      <protection/>
    </xf>
    <xf numFmtId="3" fontId="6" fillId="0" borderId="19" xfId="138" applyNumberFormat="1" applyFont="1" applyFill="1" applyBorder="1" applyAlignment="1">
      <alignment horizontal="center" vertical="center" wrapText="1"/>
      <protection/>
    </xf>
    <xf numFmtId="49" fontId="16" fillId="0" borderId="0" xfId="138" applyNumberFormat="1" applyFont="1" applyFill="1" applyBorder="1" applyAlignment="1">
      <alignment vertical="center" wrapText="1"/>
      <protection/>
    </xf>
    <xf numFmtId="49" fontId="71" fillId="0" borderId="0" xfId="138" applyNumberFormat="1" applyFont="1" applyFill="1">
      <alignment/>
      <protection/>
    </xf>
    <xf numFmtId="49" fontId="5" fillId="0" borderId="0" xfId="138" applyNumberFormat="1" applyFont="1" applyFill="1">
      <alignment/>
      <protection/>
    </xf>
    <xf numFmtId="49" fontId="0" fillId="47" borderId="0" xfId="138" applyNumberFormat="1" applyFont="1" applyFill="1">
      <alignment/>
      <protection/>
    </xf>
    <xf numFmtId="49" fontId="4" fillId="47" borderId="0" xfId="138" applyNumberFormat="1" applyFont="1" applyFill="1" applyAlignment="1">
      <alignment horizontal="center"/>
      <protection/>
    </xf>
    <xf numFmtId="49" fontId="23" fillId="0" borderId="0" xfId="138" applyNumberFormat="1" applyFont="1" applyFill="1">
      <alignment/>
      <protection/>
    </xf>
    <xf numFmtId="49" fontId="4" fillId="0" borderId="0" xfId="138" applyNumberFormat="1" applyFont="1" applyFill="1">
      <alignment/>
      <protection/>
    </xf>
    <xf numFmtId="49" fontId="14" fillId="0" borderId="0" xfId="138" applyNumberFormat="1" applyFont="1" applyFill="1" applyAlignment="1">
      <alignment/>
      <protection/>
    </xf>
    <xf numFmtId="49" fontId="14" fillId="0" borderId="0" xfId="138" applyNumberFormat="1" applyFont="1" applyFill="1" applyAlignment="1">
      <alignment wrapText="1"/>
      <protection/>
    </xf>
    <xf numFmtId="49" fontId="14" fillId="0" borderId="0" xfId="138" applyNumberFormat="1" applyFont="1" applyFill="1" applyAlignment="1">
      <alignment horizontal="left" wrapText="1"/>
      <protection/>
    </xf>
    <xf numFmtId="49" fontId="0" fillId="0" borderId="0" xfId="138" applyNumberFormat="1" applyAlignment="1">
      <alignment horizontal="left"/>
      <protection/>
    </xf>
    <xf numFmtId="49" fontId="0" fillId="0" borderId="0" xfId="138" applyNumberFormat="1" applyFont="1" applyBorder="1" applyAlignment="1">
      <alignment horizontal="left"/>
      <protection/>
    </xf>
    <xf numFmtId="49" fontId="14" fillId="0" borderId="20" xfId="138" applyNumberFormat="1" applyFont="1" applyBorder="1" applyAlignment="1">
      <alignment horizontal="center"/>
      <protection/>
    </xf>
    <xf numFmtId="3" fontId="5" fillId="4" borderId="20" xfId="139" applyNumberFormat="1" applyFont="1" applyFill="1" applyBorder="1" applyAlignment="1">
      <alignment horizontal="center" vertical="center"/>
      <protection/>
    </xf>
    <xf numFmtId="3" fontId="33" fillId="47" borderId="20" xfId="138" applyNumberFormat="1" applyFont="1" applyFill="1" applyBorder="1" applyAlignment="1">
      <alignment horizontal="center" vertical="center"/>
      <protection/>
    </xf>
    <xf numFmtId="3" fontId="18" fillId="3" borderId="20" xfId="138" applyNumberFormat="1" applyFont="1" applyFill="1" applyBorder="1" applyAlignment="1">
      <alignment horizontal="center" vertical="center"/>
      <protection/>
    </xf>
    <xf numFmtId="3" fontId="35" fillId="3" borderId="20" xfId="138" applyNumberFormat="1" applyFont="1" applyFill="1" applyBorder="1" applyAlignment="1">
      <alignment horizontal="center" vertical="center"/>
      <protection/>
    </xf>
    <xf numFmtId="3" fontId="8" fillId="44" borderId="20" xfId="138" applyNumberFormat="1" applyFont="1" applyFill="1" applyBorder="1" applyAlignment="1">
      <alignment horizontal="center" vertical="center"/>
      <protection/>
    </xf>
    <xf numFmtId="3" fontId="8" fillId="44" borderId="20" xfId="138" applyNumberFormat="1" applyFont="1" applyFill="1" applyBorder="1" applyAlignment="1">
      <alignment horizontal="center" vertical="center"/>
      <protection/>
    </xf>
    <xf numFmtId="3" fontId="8" fillId="4" borderId="20" xfId="139" applyNumberFormat="1" applyFont="1" applyFill="1" applyBorder="1" applyAlignment="1">
      <alignment horizontal="center" vertical="center"/>
      <protection/>
    </xf>
    <xf numFmtId="49" fontId="8" fillId="0" borderId="20" xfId="138" applyNumberFormat="1" applyFont="1" applyBorder="1" applyAlignment="1">
      <alignment horizontal="center" vertical="center"/>
      <protection/>
    </xf>
    <xf numFmtId="49" fontId="8" fillId="47" borderId="20" xfId="138" applyNumberFormat="1" applyFont="1" applyFill="1" applyBorder="1" applyAlignment="1">
      <alignment horizontal="left" vertical="center"/>
      <protection/>
    </xf>
    <xf numFmtId="3" fontId="5" fillId="47" borderId="20" xfId="138" applyNumberFormat="1" applyFont="1" applyFill="1" applyBorder="1" applyAlignment="1">
      <alignment horizontal="center" vertical="center"/>
      <protection/>
    </xf>
    <xf numFmtId="3" fontId="5" fillId="44" borderId="20" xfId="138" applyNumberFormat="1" applyFont="1" applyFill="1" applyBorder="1" applyAlignment="1">
      <alignment horizontal="center" vertical="center"/>
      <protection/>
    </xf>
    <xf numFmtId="49" fontId="5" fillId="0" borderId="23" xfId="138" applyNumberFormat="1" applyFont="1" applyBorder="1" applyAlignment="1">
      <alignment horizontal="center" vertical="center"/>
      <protection/>
    </xf>
    <xf numFmtId="49" fontId="0" fillId="0" borderId="0" xfId="138" applyNumberFormat="1" applyFont="1" applyAlignment="1">
      <alignment vertical="center"/>
      <protection/>
    </xf>
    <xf numFmtId="3" fontId="5" fillId="0" borderId="20" xfId="138" applyNumberFormat="1" applyFont="1" applyFill="1" applyBorder="1" applyAlignment="1">
      <alignment horizontal="center" vertical="center"/>
      <protection/>
    </xf>
    <xf numFmtId="3" fontId="5" fillId="47" borderId="20" xfId="139" applyNumberFormat="1" applyFont="1" applyFill="1" applyBorder="1" applyAlignment="1">
      <alignment horizontal="center" vertical="center"/>
      <protection/>
    </xf>
    <xf numFmtId="49" fontId="5" fillId="47" borderId="23" xfId="138" applyNumberFormat="1" applyFont="1" applyFill="1" applyBorder="1" applyAlignment="1">
      <alignment horizontal="center" vertical="center"/>
      <protection/>
    </xf>
    <xf numFmtId="9" fontId="21" fillId="0" borderId="0" xfId="148" applyFont="1" applyAlignment="1">
      <alignment vertical="center"/>
    </xf>
    <xf numFmtId="49" fontId="5" fillId="0" borderId="0" xfId="138" applyNumberFormat="1" applyFont="1" applyBorder="1" applyAlignment="1">
      <alignment horizontal="center"/>
      <protection/>
    </xf>
    <xf numFmtId="49" fontId="5" fillId="47" borderId="0" xfId="138" applyNumberFormat="1" applyFont="1" applyFill="1" applyBorder="1" applyAlignment="1">
      <alignment horizontal="left"/>
      <protection/>
    </xf>
    <xf numFmtId="49" fontId="0" fillId="0" borderId="0" xfId="138" applyNumberFormat="1" applyFont="1" applyFill="1" applyBorder="1" applyAlignment="1">
      <alignment horizontal="center"/>
      <protection/>
    </xf>
    <xf numFmtId="3" fontId="5" fillId="47" borderId="19" xfId="139" applyNumberFormat="1" applyFont="1" applyFill="1" applyBorder="1" applyAlignment="1">
      <alignment horizontal="center" vertical="center"/>
      <protection/>
    </xf>
    <xf numFmtId="9" fontId="0" fillId="0" borderId="0" xfId="148" applyFont="1" applyAlignment="1">
      <alignment/>
    </xf>
    <xf numFmtId="49" fontId="29" fillId="0" borderId="0" xfId="138" applyNumberFormat="1" applyFont="1" applyBorder="1" applyAlignment="1">
      <alignment wrapText="1"/>
      <protection/>
    </xf>
    <xf numFmtId="3" fontId="5" fillId="47" borderId="0" xfId="139" applyNumberFormat="1" applyFont="1" applyFill="1" applyBorder="1" applyAlignment="1">
      <alignment horizontal="center" vertical="center"/>
      <protection/>
    </xf>
    <xf numFmtId="49" fontId="29" fillId="0" borderId="0" xfId="138" applyNumberFormat="1" applyFont="1" applyAlignment="1">
      <alignment wrapText="1"/>
      <protection/>
    </xf>
    <xf numFmtId="49" fontId="38" fillId="0" borderId="0" xfId="138" applyNumberFormat="1" applyFont="1">
      <alignment/>
      <protection/>
    </xf>
    <xf numFmtId="49" fontId="38" fillId="0" borderId="0" xfId="138" applyNumberFormat="1" applyFont="1" applyAlignment="1">
      <alignment wrapText="1"/>
      <protection/>
    </xf>
    <xf numFmtId="49" fontId="4" fillId="47" borderId="0" xfId="138" applyNumberFormat="1" applyFont="1" applyFill="1" applyAlignment="1">
      <alignment/>
      <protection/>
    </xf>
    <xf numFmtId="49" fontId="73" fillId="0" borderId="0" xfId="138" applyNumberFormat="1" applyFont="1">
      <alignment/>
      <protection/>
    </xf>
    <xf numFmtId="49" fontId="14" fillId="0" borderId="0" xfId="138" applyNumberFormat="1" applyFont="1" applyBorder="1" applyAlignment="1">
      <alignment wrapText="1"/>
      <protection/>
    </xf>
    <xf numFmtId="49" fontId="0" fillId="0" borderId="0" xfId="140" applyNumberFormat="1" applyFont="1" applyAlignment="1">
      <alignment horizontal="left"/>
      <protection/>
    </xf>
    <xf numFmtId="49" fontId="15" fillId="0" borderId="0" xfId="140" applyNumberFormat="1" applyFont="1" applyAlignment="1">
      <alignment wrapText="1"/>
      <protection/>
    </xf>
    <xf numFmtId="49" fontId="4" fillId="47" borderId="0" xfId="140" applyNumberFormat="1" applyFont="1" applyFill="1" applyBorder="1" applyAlignment="1">
      <alignment horizontal="left"/>
      <protection/>
    </xf>
    <xf numFmtId="49" fontId="0" fillId="47" borderId="0" xfId="140" applyNumberFormat="1" applyFont="1" applyFill="1" applyBorder="1" applyAlignment="1">
      <alignment horizontal="left"/>
      <protection/>
    </xf>
    <xf numFmtId="49" fontId="27" fillId="0" borderId="0" xfId="140" applyNumberFormat="1" applyFont="1">
      <alignment/>
      <protection/>
    </xf>
    <xf numFmtId="49" fontId="0" fillId="47" borderId="0" xfId="140" applyNumberFormat="1" applyFont="1" applyFill="1" applyBorder="1" applyAlignment="1">
      <alignment/>
      <protection/>
    </xf>
    <xf numFmtId="49" fontId="4" fillId="0" borderId="0" xfId="140" applyNumberFormat="1" applyFont="1" applyBorder="1" applyAlignment="1">
      <alignment horizontal="left"/>
      <protection/>
    </xf>
    <xf numFmtId="49" fontId="0" fillId="0" borderId="0" xfId="140" applyNumberFormat="1" applyFont="1" applyBorder="1" applyAlignment="1">
      <alignment horizontal="left"/>
      <protection/>
    </xf>
    <xf numFmtId="49" fontId="0" fillId="0" borderId="0" xfId="140" applyNumberFormat="1" applyFont="1" applyBorder="1" applyAlignment="1">
      <alignment/>
      <protection/>
    </xf>
    <xf numFmtId="49" fontId="19" fillId="0" borderId="22" xfId="140" applyNumberFormat="1" applyFont="1" applyBorder="1" applyAlignment="1">
      <alignment horizontal="left"/>
      <protection/>
    </xf>
    <xf numFmtId="49" fontId="4" fillId="0" borderId="22" xfId="140" applyNumberFormat="1" applyFont="1" applyBorder="1" applyAlignment="1">
      <alignment horizontal="left"/>
      <protection/>
    </xf>
    <xf numFmtId="49" fontId="27" fillId="0" borderId="0" xfId="140" applyNumberFormat="1" applyFont="1" applyFill="1">
      <alignment/>
      <protection/>
    </xf>
    <xf numFmtId="49" fontId="27" fillId="0" borderId="0" xfId="140" applyNumberFormat="1" applyFont="1" applyAlignment="1">
      <alignment vertical="center"/>
      <protection/>
    </xf>
    <xf numFmtId="49" fontId="7" fillId="47" borderId="20" xfId="140" applyNumberFormat="1" applyFont="1" applyFill="1" applyBorder="1" applyAlignment="1">
      <alignment horizontal="left" vertical="center"/>
      <protection/>
    </xf>
    <xf numFmtId="49" fontId="1" fillId="0" borderId="0" xfId="140" applyNumberFormat="1" applyFont="1">
      <alignment/>
      <protection/>
    </xf>
    <xf numFmtId="49" fontId="29" fillId="0" borderId="0" xfId="140" applyNumberFormat="1" applyFont="1" applyBorder="1" applyAlignment="1">
      <alignment/>
      <protection/>
    </xf>
    <xf numFmtId="49" fontId="80" fillId="0" borderId="0" xfId="140" applyNumberFormat="1" applyFont="1">
      <alignment/>
      <protection/>
    </xf>
    <xf numFmtId="49" fontId="26" fillId="0" borderId="0" xfId="140" applyNumberFormat="1" applyFont="1" applyBorder="1" applyAlignment="1">
      <alignment/>
      <protection/>
    </xf>
    <xf numFmtId="49" fontId="6" fillId="0" borderId="0" xfId="140" applyNumberFormat="1" applyFont="1">
      <alignment/>
      <protection/>
    </xf>
    <xf numFmtId="49" fontId="29" fillId="0" borderId="0" xfId="140" applyNumberFormat="1" applyFont="1" applyAlignment="1">
      <alignment horizontal="center"/>
      <protection/>
    </xf>
    <xf numFmtId="49" fontId="29" fillId="0" borderId="0" xfId="140" applyNumberFormat="1" applyFont="1">
      <alignment/>
      <protection/>
    </xf>
    <xf numFmtId="49" fontId="80" fillId="0" borderId="0" xfId="140" applyNumberFormat="1" applyFont="1" applyAlignment="1">
      <alignment horizontal="center"/>
      <protection/>
    </xf>
    <xf numFmtId="49" fontId="14" fillId="0" borderId="0" xfId="140" applyNumberFormat="1" applyFont="1" applyBorder="1" applyAlignment="1">
      <alignment wrapText="1"/>
      <protection/>
    </xf>
    <xf numFmtId="49" fontId="82" fillId="0" borderId="0" xfId="140" applyNumberFormat="1" applyFont="1">
      <alignment/>
      <protection/>
    </xf>
    <xf numFmtId="9" fontId="27" fillId="0" borderId="0" xfId="148" applyFont="1" applyAlignment="1">
      <alignment/>
    </xf>
    <xf numFmtId="3" fontId="0" fillId="47" borderId="0" xfId="140" applyNumberFormat="1" applyFont="1" applyFill="1" applyBorder="1" applyAlignment="1">
      <alignment/>
      <protection/>
    </xf>
    <xf numFmtId="0" fontId="27" fillId="0" borderId="0" xfId="140">
      <alignment/>
      <protection/>
    </xf>
    <xf numFmtId="0" fontId="0" fillId="0" borderId="0" xfId="140" applyFont="1" applyAlignment="1">
      <alignment horizontal="left"/>
      <protection/>
    </xf>
    <xf numFmtId="0" fontId="0" fillId="0" borderId="0" xfId="140" applyFont="1" applyBorder="1" applyAlignment="1">
      <alignment/>
      <protection/>
    </xf>
    <xf numFmtId="0" fontId="0" fillId="0" borderId="0" xfId="140" applyFont="1" applyBorder="1" applyAlignment="1">
      <alignment horizontal="left"/>
      <protection/>
    </xf>
    <xf numFmtId="0" fontId="27" fillId="0" borderId="0" xfId="140" applyFont="1">
      <alignment/>
      <protection/>
    </xf>
    <xf numFmtId="0" fontId="7" fillId="0" borderId="20" xfId="140" applyFont="1" applyBorder="1" applyAlignment="1">
      <alignment horizontal="center" vertical="center"/>
      <protection/>
    </xf>
    <xf numFmtId="0" fontId="7" fillId="47" borderId="20" xfId="140" applyFont="1" applyFill="1" applyBorder="1" applyAlignment="1">
      <alignment horizontal="left" vertical="center"/>
      <protection/>
    </xf>
    <xf numFmtId="9" fontId="27" fillId="0" borderId="0" xfId="148" applyFont="1" applyAlignment="1">
      <alignment vertical="center"/>
    </xf>
    <xf numFmtId="0" fontId="6" fillId="0" borderId="23" xfId="140" applyFont="1" applyBorder="1" applyAlignment="1">
      <alignment horizontal="center" vertical="center"/>
      <protection/>
    </xf>
    <xf numFmtId="0" fontId="27" fillId="0" borderId="0" xfId="140" applyFont="1" applyAlignment="1">
      <alignment vertical="center"/>
      <protection/>
    </xf>
    <xf numFmtId="0" fontId="1" fillId="0" borderId="0" xfId="140" applyFont="1">
      <alignment/>
      <protection/>
    </xf>
    <xf numFmtId="0" fontId="26" fillId="0" borderId="0" xfId="140" applyFont="1" applyBorder="1" applyAlignment="1">
      <alignment horizontal="center" wrapText="1"/>
      <protection/>
    </xf>
    <xf numFmtId="0" fontId="29" fillId="0" borderId="0" xfId="140" applyFont="1" applyBorder="1" applyAlignment="1">
      <alignment wrapText="1"/>
      <protection/>
    </xf>
    <xf numFmtId="0" fontId="26" fillId="0" borderId="0" xfId="140" applyNumberFormat="1" applyFont="1" applyBorder="1" applyAlignment="1">
      <alignment/>
      <protection/>
    </xf>
    <xf numFmtId="0" fontId="80" fillId="0" borderId="0" xfId="140" applyFont="1">
      <alignment/>
      <protection/>
    </xf>
    <xf numFmtId="0" fontId="26" fillId="0" borderId="0" xfId="140" applyNumberFormat="1" applyFont="1" applyBorder="1" applyAlignment="1">
      <alignment horizontal="center"/>
      <protection/>
    </xf>
    <xf numFmtId="0" fontId="6" fillId="0" borderId="0" xfId="140" applyFont="1">
      <alignment/>
      <protection/>
    </xf>
    <xf numFmtId="0" fontId="29" fillId="0" borderId="0" xfId="140" applyFont="1">
      <alignment/>
      <protection/>
    </xf>
    <xf numFmtId="0" fontId="26" fillId="0" borderId="0" xfId="138" applyFont="1" applyAlignment="1">
      <alignment/>
      <protection/>
    </xf>
    <xf numFmtId="49" fontId="20" fillId="0" borderId="0" xfId="140" applyNumberFormat="1" applyFont="1">
      <alignment/>
      <protection/>
    </xf>
    <xf numFmtId="49" fontId="5" fillId="47" borderId="0" xfId="140" applyNumberFormat="1" applyFont="1" applyFill="1" applyBorder="1" applyAlignment="1">
      <alignment horizontal="left"/>
      <protection/>
    </xf>
    <xf numFmtId="49" fontId="5" fillId="0" borderId="0" xfId="140" applyNumberFormat="1" applyFont="1" applyBorder="1" applyAlignment="1">
      <alignment horizontal="left"/>
      <protection/>
    </xf>
    <xf numFmtId="49" fontId="0" fillId="0" borderId="22" xfId="140" applyNumberFormat="1" applyFont="1" applyBorder="1" applyAlignment="1">
      <alignment/>
      <protection/>
    </xf>
    <xf numFmtId="49" fontId="7" fillId="0" borderId="20" xfId="140" applyNumberFormat="1" applyFont="1" applyFill="1" applyBorder="1" applyAlignment="1">
      <alignment horizontal="center" vertical="center" wrapText="1"/>
      <protection/>
    </xf>
    <xf numFmtId="49" fontId="6" fillId="0" borderId="24" xfId="140" applyNumberFormat="1" applyFont="1" applyFill="1" applyBorder="1">
      <alignment/>
      <protection/>
    </xf>
    <xf numFmtId="49" fontId="6" fillId="0" borderId="0" xfId="140" applyNumberFormat="1" applyFont="1" applyFill="1">
      <alignment/>
      <protection/>
    </xf>
    <xf numFmtId="49" fontId="25" fillId="0" borderId="0" xfId="140" applyNumberFormat="1" applyFont="1" applyFill="1">
      <alignment/>
      <protection/>
    </xf>
    <xf numFmtId="49" fontId="7" fillId="0" borderId="25" xfId="140" applyNumberFormat="1" applyFont="1" applyFill="1" applyBorder="1" applyAlignment="1">
      <alignment horizontal="center" vertical="center" wrapText="1"/>
      <protection/>
    </xf>
    <xf numFmtId="49" fontId="20" fillId="0" borderId="20" xfId="140" applyNumberFormat="1" applyFont="1" applyFill="1" applyBorder="1" applyAlignment="1">
      <alignment horizontal="center" vertical="center"/>
      <protection/>
    </xf>
    <xf numFmtId="49" fontId="20" fillId="0" borderId="20" xfId="140" applyNumberFormat="1" applyFont="1" applyBorder="1" applyAlignment="1">
      <alignment horizontal="center" vertical="center"/>
      <protection/>
    </xf>
    <xf numFmtId="49" fontId="6" fillId="0" borderId="0" xfId="140" applyNumberFormat="1" applyFont="1" applyAlignment="1">
      <alignment vertical="center"/>
      <protection/>
    </xf>
    <xf numFmtId="3" fontId="30" fillId="3" borderId="20" xfId="140" applyNumberFormat="1" applyFont="1" applyFill="1" applyBorder="1" applyAlignment="1">
      <alignment horizontal="center" vertical="center"/>
      <protection/>
    </xf>
    <xf numFmtId="3" fontId="70" fillId="3" borderId="20" xfId="140" applyNumberFormat="1" applyFont="1" applyFill="1" applyBorder="1" applyAlignment="1">
      <alignment horizontal="center" vertical="center"/>
      <protection/>
    </xf>
    <xf numFmtId="3" fontId="30" fillId="4" borderId="20" xfId="140" applyNumberFormat="1" applyFont="1" applyFill="1" applyBorder="1" applyAlignment="1">
      <alignment horizontal="center" vertical="center"/>
      <protection/>
    </xf>
    <xf numFmtId="3" fontId="7" fillId="44" borderId="20" xfId="140" applyNumberFormat="1" applyFont="1" applyFill="1" applyBorder="1" applyAlignment="1">
      <alignment horizontal="center" vertical="center"/>
      <protection/>
    </xf>
    <xf numFmtId="49" fontId="7" fillId="0" borderId="20" xfId="140" applyNumberFormat="1" applyFont="1" applyBorder="1" applyAlignment="1">
      <alignment horizontal="center" vertical="center"/>
      <protection/>
    </xf>
    <xf numFmtId="3" fontId="6" fillId="47" borderId="20" xfId="140" applyNumberFormat="1" applyFont="1" applyFill="1" applyBorder="1" applyAlignment="1">
      <alignment horizontal="center" vertical="center"/>
      <protection/>
    </xf>
    <xf numFmtId="49" fontId="7" fillId="0" borderId="23" xfId="140" applyNumberFormat="1" applyFont="1" applyBorder="1" applyAlignment="1">
      <alignment horizontal="center" vertical="center"/>
      <protection/>
    </xf>
    <xf numFmtId="49" fontId="6" fillId="0" borderId="23" xfId="140" applyNumberFormat="1" applyFont="1" applyBorder="1" applyAlignment="1">
      <alignment horizontal="center" vertical="center"/>
      <protection/>
    </xf>
    <xf numFmtId="3" fontId="6" fillId="0" borderId="20" xfId="140" applyNumberFormat="1" applyFont="1" applyBorder="1" applyAlignment="1">
      <alignment horizontal="center" vertical="center"/>
      <protection/>
    </xf>
    <xf numFmtId="49" fontId="88" fillId="0" borderId="0" xfId="140" applyNumberFormat="1" applyFont="1">
      <alignment/>
      <protection/>
    </xf>
    <xf numFmtId="49" fontId="27" fillId="0" borderId="0" xfId="140" applyNumberFormat="1">
      <alignment/>
      <protection/>
    </xf>
    <xf numFmtId="49" fontId="29" fillId="0" borderId="0" xfId="140" applyNumberFormat="1" applyFont="1" applyBorder="1" applyAlignment="1">
      <alignment wrapText="1"/>
      <protection/>
    </xf>
    <xf numFmtId="49" fontId="22" fillId="0" borderId="0" xfId="140" applyNumberFormat="1" applyFont="1">
      <alignment/>
      <protection/>
    </xf>
    <xf numFmtId="49" fontId="32" fillId="0" borderId="0" xfId="140" applyNumberFormat="1" applyFont="1">
      <alignment/>
      <protection/>
    </xf>
    <xf numFmtId="49" fontId="32" fillId="0" borderId="0" xfId="140" applyNumberFormat="1" applyFont="1" applyAlignment="1">
      <alignment horizontal="center"/>
      <protection/>
    </xf>
    <xf numFmtId="0" fontId="5" fillId="0" borderId="0" xfId="140" applyNumberFormat="1" applyFont="1" applyAlignment="1">
      <alignment horizontal="left"/>
      <protection/>
    </xf>
    <xf numFmtId="0" fontId="6" fillId="0" borderId="0" xfId="140" applyFont="1" applyAlignment="1">
      <alignment/>
      <protection/>
    </xf>
    <xf numFmtId="3" fontId="6" fillId="0" borderId="0" xfId="140" applyNumberFormat="1" applyFont="1">
      <alignment/>
      <protection/>
    </xf>
    <xf numFmtId="0" fontId="8" fillId="0" borderId="0" xfId="140" applyFont="1" applyBorder="1" applyAlignment="1">
      <alignment/>
      <protection/>
    </xf>
    <xf numFmtId="0" fontId="27" fillId="0" borderId="24" xfId="140" applyFont="1" applyBorder="1">
      <alignment/>
      <protection/>
    </xf>
    <xf numFmtId="0" fontId="27" fillId="0" borderId="0" xfId="140" applyFont="1" applyBorder="1">
      <alignment/>
      <protection/>
    </xf>
    <xf numFmtId="0" fontId="13" fillId="0" borderId="20" xfId="140" applyFont="1" applyBorder="1" applyAlignment="1">
      <alignment horizontal="center" vertical="center" wrapText="1"/>
      <protection/>
    </xf>
    <xf numFmtId="0" fontId="20" fillId="0" borderId="23" xfId="140" applyFont="1" applyFill="1" applyBorder="1" applyAlignment="1">
      <alignment horizontal="center" vertical="center"/>
      <protection/>
    </xf>
    <xf numFmtId="0" fontId="20" fillId="0" borderId="20" xfId="140" applyFont="1" applyFill="1" applyBorder="1" applyAlignment="1">
      <alignment horizontal="center" vertical="center"/>
      <protection/>
    </xf>
    <xf numFmtId="0" fontId="20" fillId="0" borderId="20" xfId="140" applyFont="1" applyBorder="1" applyAlignment="1">
      <alignment horizontal="center" vertical="center"/>
      <protection/>
    </xf>
    <xf numFmtId="3" fontId="21" fillId="3" borderId="20" xfId="140" applyNumberFormat="1" applyFont="1" applyFill="1" applyBorder="1" applyAlignment="1">
      <alignment horizontal="center" vertical="center"/>
      <protection/>
    </xf>
    <xf numFmtId="3" fontId="36" fillId="3" borderId="20" xfId="140" applyNumberFormat="1" applyFont="1" applyFill="1" applyBorder="1" applyAlignment="1">
      <alignment horizontal="center" vertical="center"/>
      <protection/>
    </xf>
    <xf numFmtId="3" fontId="4" fillId="44" borderId="23" xfId="140" applyNumberFormat="1" applyFont="1" applyFill="1" applyBorder="1" applyAlignment="1">
      <alignment horizontal="center" vertical="center"/>
      <protection/>
    </xf>
    <xf numFmtId="3" fontId="0" fillId="48" borderId="23" xfId="140" applyNumberFormat="1" applyFont="1" applyFill="1" applyBorder="1" applyAlignment="1">
      <alignment horizontal="center" vertical="center"/>
      <protection/>
    </xf>
    <xf numFmtId="3" fontId="0" fillId="0" borderId="20" xfId="140" applyNumberFormat="1" applyFont="1" applyBorder="1" applyAlignment="1">
      <alignment horizontal="center" vertical="center"/>
      <protection/>
    </xf>
    <xf numFmtId="3" fontId="0" fillId="0" borderId="26" xfId="140" applyNumberFormat="1" applyFont="1" applyBorder="1" applyAlignment="1">
      <alignment horizontal="center" vertical="center"/>
      <protection/>
    </xf>
    <xf numFmtId="0" fontId="7" fillId="0" borderId="23" xfId="140" applyFont="1" applyBorder="1" applyAlignment="1">
      <alignment horizontal="center" vertical="center"/>
      <protection/>
    </xf>
    <xf numFmtId="3" fontId="0" fillId="44" borderId="23" xfId="140" applyNumberFormat="1" applyFont="1" applyFill="1" applyBorder="1" applyAlignment="1">
      <alignment horizontal="center" vertical="center"/>
      <protection/>
    </xf>
    <xf numFmtId="3" fontId="0" fillId="47" borderId="20" xfId="140" applyNumberFormat="1" applyFont="1" applyFill="1" applyBorder="1" applyAlignment="1">
      <alignment horizontal="center" vertical="center"/>
      <protection/>
    </xf>
    <xf numFmtId="3" fontId="0" fillId="47" borderId="26" xfId="140" applyNumberFormat="1" applyFont="1" applyFill="1" applyBorder="1" applyAlignment="1">
      <alignment horizontal="center" vertical="center"/>
      <protection/>
    </xf>
    <xf numFmtId="0" fontId="29" fillId="0" borderId="0" xfId="140" applyNumberFormat="1" applyFont="1" applyBorder="1" applyAlignment="1">
      <alignment/>
      <protection/>
    </xf>
    <xf numFmtId="0" fontId="89" fillId="0" borderId="0" xfId="140" applyFont="1">
      <alignment/>
      <protection/>
    </xf>
    <xf numFmtId="0" fontId="17" fillId="0" borderId="0" xfId="140" applyFont="1">
      <alignment/>
      <protection/>
    </xf>
    <xf numFmtId="0" fontId="28" fillId="0" borderId="0" xfId="140" applyFont="1">
      <alignment/>
      <protection/>
    </xf>
    <xf numFmtId="0" fontId="14" fillId="0" borderId="0" xfId="140" applyFont="1">
      <alignment/>
      <protection/>
    </xf>
    <xf numFmtId="49" fontId="14" fillId="0" borderId="0" xfId="140" applyNumberFormat="1" applyFont="1">
      <alignment/>
      <protection/>
    </xf>
    <xf numFmtId="0" fontId="82" fillId="0" borderId="0" xfId="140" applyFont="1">
      <alignment/>
      <protection/>
    </xf>
    <xf numFmtId="49" fontId="19" fillId="0" borderId="0" xfId="140" applyNumberFormat="1" applyFont="1" applyBorder="1" applyAlignment="1">
      <alignment/>
      <protection/>
    </xf>
    <xf numFmtId="49" fontId="27" fillId="0" borderId="0" xfId="140" applyNumberFormat="1" applyFont="1" applyAlignment="1">
      <alignment horizontal="center"/>
      <protection/>
    </xf>
    <xf numFmtId="3" fontId="20" fillId="47" borderId="22" xfId="140" applyNumberFormat="1" applyFont="1" applyFill="1" applyBorder="1" applyAlignment="1">
      <alignment horizontal="center"/>
      <protection/>
    </xf>
    <xf numFmtId="49" fontId="6" fillId="0" borderId="22" xfId="140" applyNumberFormat="1" applyFont="1" applyBorder="1" applyAlignment="1">
      <alignment/>
      <protection/>
    </xf>
    <xf numFmtId="49" fontId="27" fillId="0" borderId="0" xfId="140" applyNumberFormat="1" applyFill="1">
      <alignment/>
      <protection/>
    </xf>
    <xf numFmtId="49" fontId="27" fillId="0" borderId="0" xfId="140" applyNumberFormat="1" applyFill="1" applyAlignment="1">
      <alignment vertical="center" wrapText="1"/>
      <protection/>
    </xf>
    <xf numFmtId="49" fontId="27" fillId="0" borderId="0" xfId="140" applyNumberFormat="1" applyAlignment="1">
      <alignment vertical="center"/>
      <protection/>
    </xf>
    <xf numFmtId="3" fontId="6" fillId="44" borderId="20" xfId="140" applyNumberFormat="1" applyFont="1" applyFill="1" applyBorder="1" applyAlignment="1">
      <alignment horizontal="center" vertical="center"/>
      <protection/>
    </xf>
    <xf numFmtId="3" fontId="27" fillId="0" borderId="20" xfId="140" applyNumberFormat="1" applyFont="1" applyBorder="1" applyAlignment="1">
      <alignment horizontal="center" vertical="center"/>
      <protection/>
    </xf>
    <xf numFmtId="0" fontId="6" fillId="0" borderId="20" xfId="140" applyFont="1" applyBorder="1" applyAlignment="1">
      <alignment horizontal="center" vertical="center"/>
      <protection/>
    </xf>
    <xf numFmtId="3" fontId="6" fillId="0" borderId="20" xfId="140" applyNumberFormat="1" applyFont="1" applyFill="1" applyBorder="1" applyAlignment="1">
      <alignment horizontal="center" vertical="center"/>
      <protection/>
    </xf>
    <xf numFmtId="3" fontId="27" fillId="0" borderId="20" xfId="140" applyNumberFormat="1" applyFont="1" applyFill="1" applyBorder="1" applyAlignment="1">
      <alignment horizontal="center" vertical="center"/>
      <protection/>
    </xf>
    <xf numFmtId="49" fontId="27" fillId="0" borderId="0" xfId="140" applyNumberFormat="1" applyAlignment="1">
      <alignment horizontal="center"/>
      <protection/>
    </xf>
    <xf numFmtId="49" fontId="73" fillId="0" borderId="0" xfId="140" applyNumberFormat="1" applyFont="1" applyAlignment="1">
      <alignment horizontal="left"/>
      <protection/>
    </xf>
    <xf numFmtId="49" fontId="32" fillId="0" borderId="0" xfId="140" applyNumberFormat="1" applyFont="1" applyAlignment="1">
      <alignment/>
      <protection/>
    </xf>
    <xf numFmtId="49" fontId="4" fillId="47" borderId="0" xfId="140" applyNumberFormat="1" applyFont="1" applyFill="1" applyBorder="1" applyAlignment="1">
      <alignment/>
      <protection/>
    </xf>
    <xf numFmtId="49" fontId="4" fillId="0" borderId="0" xfId="140" applyNumberFormat="1" applyFont="1" applyAlignment="1">
      <alignment/>
      <protection/>
    </xf>
    <xf numFmtId="49" fontId="4" fillId="0" borderId="0" xfId="140" applyNumberFormat="1" applyFont="1" applyBorder="1" applyAlignment="1">
      <alignment/>
      <protection/>
    </xf>
    <xf numFmtId="49" fontId="7" fillId="0" borderId="22" xfId="140" applyNumberFormat="1" applyFont="1" applyBorder="1" applyAlignment="1">
      <alignment/>
      <protection/>
    </xf>
    <xf numFmtId="3" fontId="20" fillId="0" borderId="20" xfId="140" applyNumberFormat="1" applyFont="1" applyBorder="1" applyAlignment="1">
      <alignment horizontal="center" vertical="center"/>
      <protection/>
    </xf>
    <xf numFmtId="49" fontId="27" fillId="47" borderId="0" xfId="140" applyNumberFormat="1" applyFont="1" applyFill="1" applyAlignment="1">
      <alignment vertical="center"/>
      <protection/>
    </xf>
    <xf numFmtId="3" fontId="27" fillId="47" borderId="20" xfId="140" applyNumberFormat="1" applyFont="1" applyFill="1" applyBorder="1" applyAlignment="1">
      <alignment horizontal="center" vertical="center"/>
      <protection/>
    </xf>
    <xf numFmtId="3" fontId="92" fillId="0" borderId="20" xfId="140" applyNumberFormat="1" applyFont="1" applyBorder="1" applyAlignment="1">
      <alignment horizontal="center" vertical="center"/>
      <protection/>
    </xf>
    <xf numFmtId="0" fontId="6" fillId="0" borderId="19" xfId="140" applyFont="1" applyFill="1" applyBorder="1" applyAlignment="1">
      <alignment horizontal="center" vertical="center"/>
      <protection/>
    </xf>
    <xf numFmtId="49" fontId="7" fillId="0" borderId="19" xfId="138" applyNumberFormat="1" applyFont="1" applyFill="1" applyBorder="1" applyAlignment="1">
      <alignment horizontal="left" vertical="center"/>
      <protection/>
    </xf>
    <xf numFmtId="3" fontId="6" fillId="0" borderId="19" xfId="140" applyNumberFormat="1" applyFont="1" applyFill="1" applyBorder="1" applyAlignment="1">
      <alignment horizontal="center" vertical="center"/>
      <protection/>
    </xf>
    <xf numFmtId="3" fontId="20" fillId="0" borderId="19" xfId="140" applyNumberFormat="1" applyFont="1" applyFill="1" applyBorder="1" applyAlignment="1">
      <alignment horizontal="center" vertical="center"/>
      <protection/>
    </xf>
    <xf numFmtId="3" fontId="27" fillId="0" borderId="19" xfId="140" applyNumberFormat="1" applyFont="1" applyFill="1" applyBorder="1" applyAlignment="1">
      <alignment vertical="center"/>
      <protection/>
    </xf>
    <xf numFmtId="3" fontId="93" fillId="0" borderId="19" xfId="140" applyNumberFormat="1" applyFont="1" applyFill="1" applyBorder="1" applyAlignment="1">
      <alignment vertical="center"/>
      <protection/>
    </xf>
    <xf numFmtId="49" fontId="32" fillId="0" borderId="0" xfId="140" applyNumberFormat="1" applyFont="1" applyBorder="1" applyAlignment="1">
      <alignment/>
      <protection/>
    </xf>
    <xf numFmtId="49" fontId="29" fillId="0" borderId="0" xfId="140" applyNumberFormat="1" applyFont="1" applyBorder="1" applyAlignment="1">
      <alignment horizontal="center"/>
      <protection/>
    </xf>
    <xf numFmtId="49" fontId="29" fillId="0" borderId="0" xfId="140" applyNumberFormat="1" applyFont="1" applyAlignment="1">
      <alignment/>
      <protection/>
    </xf>
    <xf numFmtId="0" fontId="6" fillId="47" borderId="0" xfId="140" applyFont="1" applyFill="1" applyBorder="1" applyAlignment="1">
      <alignment/>
      <protection/>
    </xf>
    <xf numFmtId="49" fontId="94" fillId="0" borderId="0" xfId="140" applyNumberFormat="1" applyFont="1">
      <alignment/>
      <protection/>
    </xf>
    <xf numFmtId="49" fontId="95" fillId="0" borderId="0" xfId="140" applyNumberFormat="1" applyFont="1">
      <alignment/>
      <protection/>
    </xf>
    <xf numFmtId="49" fontId="96" fillId="0" borderId="0" xfId="140" applyNumberFormat="1" applyFont="1" applyAlignment="1">
      <alignment horizontal="center"/>
      <protection/>
    </xf>
    <xf numFmtId="49" fontId="26" fillId="47" borderId="0" xfId="138" applyNumberFormat="1" applyFont="1" applyFill="1" applyAlignment="1">
      <alignment/>
      <protection/>
    </xf>
    <xf numFmtId="49" fontId="81" fillId="0" borderId="0" xfId="140" applyNumberFormat="1" applyFont="1">
      <alignment/>
      <protection/>
    </xf>
    <xf numFmtId="49" fontId="32" fillId="0" borderId="0" xfId="140" applyNumberFormat="1" applyFont="1" applyBorder="1" applyAlignment="1">
      <alignment wrapText="1"/>
      <protection/>
    </xf>
    <xf numFmtId="49" fontId="84" fillId="0" borderId="0" xfId="140" applyNumberFormat="1" applyFont="1">
      <alignment/>
      <protection/>
    </xf>
    <xf numFmtId="49" fontId="79" fillId="0" borderId="0" xfId="140" applyNumberFormat="1" applyFont="1">
      <alignment/>
      <protection/>
    </xf>
    <xf numFmtId="49" fontId="15" fillId="0" borderId="0" xfId="140" applyNumberFormat="1" applyFont="1" applyFill="1" applyAlignment="1">
      <alignment wrapText="1"/>
      <protection/>
    </xf>
    <xf numFmtId="49" fontId="0" fillId="0" borderId="0" xfId="140" applyNumberFormat="1" applyFont="1" applyFill="1" applyBorder="1" applyAlignment="1">
      <alignment/>
      <protection/>
    </xf>
    <xf numFmtId="49" fontId="4" fillId="0" borderId="0" xfId="140" applyNumberFormat="1" applyFont="1" applyFill="1" applyBorder="1" applyAlignment="1">
      <alignment/>
      <protection/>
    </xf>
    <xf numFmtId="49" fontId="97" fillId="0" borderId="0" xfId="140" applyNumberFormat="1" applyFont="1" applyFill="1">
      <alignment/>
      <protection/>
    </xf>
    <xf numFmtId="49" fontId="27" fillId="0" borderId="0" xfId="140" applyNumberFormat="1" applyFont="1" applyFill="1" applyAlignment="1">
      <alignment horizontal="center"/>
      <protection/>
    </xf>
    <xf numFmtId="49" fontId="20" fillId="0" borderId="0" xfId="140" applyNumberFormat="1" applyFont="1" applyFill="1" applyBorder="1" applyAlignment="1">
      <alignment/>
      <protection/>
    </xf>
    <xf numFmtId="49" fontId="7" fillId="0" borderId="0" xfId="140" applyNumberFormat="1" applyFont="1" applyFill="1" applyBorder="1" applyAlignment="1">
      <alignment/>
      <protection/>
    </xf>
    <xf numFmtId="49" fontId="83" fillId="0" borderId="0" xfId="140" applyNumberFormat="1" applyFont="1" applyFill="1">
      <alignment/>
      <protection/>
    </xf>
    <xf numFmtId="49" fontId="83" fillId="0" borderId="0" xfId="140" applyNumberFormat="1" applyFont="1" applyFill="1" applyAlignment="1">
      <alignment/>
      <protection/>
    </xf>
    <xf numFmtId="49" fontId="20" fillId="0" borderId="27" xfId="140" applyNumberFormat="1" applyFont="1" applyFill="1" applyBorder="1" applyAlignment="1">
      <alignment horizontal="center" vertical="center"/>
      <protection/>
    </xf>
    <xf numFmtId="3" fontId="7" fillId="44" borderId="27" xfId="140" applyNumberFormat="1" applyFont="1" applyFill="1" applyBorder="1" applyAlignment="1">
      <alignment horizontal="center" vertical="center"/>
      <protection/>
    </xf>
    <xf numFmtId="3" fontId="7" fillId="44" borderId="23" xfId="140" applyNumberFormat="1" applyFont="1" applyFill="1" applyBorder="1" applyAlignment="1">
      <alignment horizontal="center" vertical="center"/>
      <protection/>
    </xf>
    <xf numFmtId="49" fontId="4" fillId="0" borderId="0" xfId="140" applyNumberFormat="1" applyFont="1" applyAlignment="1">
      <alignment horizontal="center"/>
      <protection/>
    </xf>
    <xf numFmtId="49" fontId="26" fillId="0" borderId="0" xfId="140" applyNumberFormat="1" applyFont="1">
      <alignment/>
      <protection/>
    </xf>
    <xf numFmtId="49" fontId="4" fillId="0" borderId="0" xfId="140" applyNumberFormat="1" applyFont="1">
      <alignment/>
      <protection/>
    </xf>
    <xf numFmtId="49" fontId="29" fillId="0" borderId="0" xfId="140" applyNumberFormat="1" applyFont="1">
      <alignment/>
      <protection/>
    </xf>
    <xf numFmtId="3" fontId="4" fillId="47" borderId="0" xfId="140" applyNumberFormat="1" applyFont="1" applyFill="1" applyBorder="1" applyAlignment="1">
      <alignment/>
      <protection/>
    </xf>
    <xf numFmtId="0" fontId="4" fillId="0" borderId="0" xfId="140" applyFont="1">
      <alignment/>
      <protection/>
    </xf>
    <xf numFmtId="0" fontId="5" fillId="0" borderId="0" xfId="140" applyFont="1" applyBorder="1" applyAlignment="1">
      <alignment horizontal="left"/>
      <protection/>
    </xf>
    <xf numFmtId="3" fontId="0" fillId="0" borderId="0" xfId="140" applyNumberFormat="1" applyFont="1" applyAlignment="1">
      <alignment horizontal="left"/>
      <protection/>
    </xf>
    <xf numFmtId="0" fontId="14" fillId="0" borderId="0" xfId="140" applyFont="1" applyBorder="1" applyAlignment="1">
      <alignment/>
      <protection/>
    </xf>
    <xf numFmtId="0" fontId="8" fillId="0" borderId="20" xfId="140" applyFont="1" applyFill="1" applyBorder="1" applyAlignment="1">
      <alignment horizontal="center" vertical="center" wrapText="1"/>
      <protection/>
    </xf>
    <xf numFmtId="0" fontId="4" fillId="0" borderId="0" xfId="140" applyFont="1" applyFill="1" applyBorder="1">
      <alignment/>
      <protection/>
    </xf>
    <xf numFmtId="0" fontId="4" fillId="0" borderId="0" xfId="140" applyFont="1" applyFill="1">
      <alignment/>
      <protection/>
    </xf>
    <xf numFmtId="3" fontId="19" fillId="0" borderId="20" xfId="140" applyNumberFormat="1" applyFont="1" applyBorder="1" applyAlignment="1">
      <alignment horizontal="center" vertical="center"/>
      <protection/>
    </xf>
    <xf numFmtId="0" fontId="0" fillId="0" borderId="0" xfId="140" applyFont="1" applyAlignment="1">
      <alignment horizontal="center" vertical="center"/>
      <protection/>
    </xf>
    <xf numFmtId="3" fontId="5" fillId="44" borderId="20" xfId="140" applyNumberFormat="1" applyFont="1" applyFill="1" applyBorder="1" applyAlignment="1">
      <alignment horizontal="center" vertical="center"/>
      <protection/>
    </xf>
    <xf numFmtId="0" fontId="4" fillId="0" borderId="0" xfId="140" applyFont="1" applyAlignment="1">
      <alignment vertical="center"/>
      <protection/>
    </xf>
    <xf numFmtId="9" fontId="4" fillId="0" borderId="0" xfId="148" applyFont="1" applyAlignment="1">
      <alignment vertical="center"/>
    </xf>
    <xf numFmtId="0" fontId="4" fillId="0" borderId="0" xfId="140" applyFont="1" applyAlignment="1">
      <alignment horizontal="center"/>
      <protection/>
    </xf>
    <xf numFmtId="0" fontId="26" fillId="0" borderId="0" xfId="140" applyFont="1">
      <alignment/>
      <protection/>
    </xf>
    <xf numFmtId="0" fontId="73" fillId="0" borderId="0" xfId="140" applyFont="1" applyAlignment="1">
      <alignment horizontal="center"/>
      <protection/>
    </xf>
    <xf numFmtId="49" fontId="53" fillId="0" borderId="0" xfId="140" applyNumberFormat="1" applyFont="1">
      <alignment/>
      <protection/>
    </xf>
    <xf numFmtId="49" fontId="98" fillId="0" borderId="0" xfId="140" applyNumberFormat="1" applyFont="1" applyBorder="1" applyAlignment="1">
      <alignment wrapText="1"/>
      <protection/>
    </xf>
    <xf numFmtId="0" fontId="32" fillId="0" borderId="0" xfId="140"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3" fillId="47" borderId="28" xfId="0" applyNumberFormat="1" applyFont="1" applyFill="1" applyBorder="1" applyAlignment="1">
      <alignment/>
    </xf>
    <xf numFmtId="3" fontId="5" fillId="47" borderId="25" xfId="137"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5" fillId="47" borderId="28" xfId="137"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5" fillId="47" borderId="29" xfId="137"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9" fillId="47" borderId="20" xfId="0" applyNumberFormat="1" applyFont="1" applyFill="1" applyBorder="1" applyAlignment="1">
      <alignment/>
    </xf>
    <xf numFmtId="3" fontId="29" fillId="47" borderId="20" xfId="137" applyNumberFormat="1" applyFont="1" applyFill="1" applyBorder="1" applyAlignment="1" applyProtection="1">
      <alignment horizontal="center" vertical="center"/>
      <protection/>
    </xf>
    <xf numFmtId="49" fontId="32" fillId="47" borderId="20" xfId="0" applyNumberFormat="1" applyFont="1" applyFill="1" applyBorder="1" applyAlignment="1">
      <alignment/>
    </xf>
    <xf numFmtId="3" fontId="32" fillId="47" borderId="20" xfId="137" applyNumberFormat="1" applyFont="1" applyFill="1" applyBorder="1" applyAlignment="1" applyProtection="1">
      <alignment horizontal="center" vertical="center"/>
      <protection/>
    </xf>
    <xf numFmtId="49" fontId="29" fillId="47" borderId="20" xfId="0" applyNumberFormat="1" applyFont="1" applyFill="1" applyBorder="1" applyAlignment="1">
      <alignment/>
    </xf>
    <xf numFmtId="49" fontId="53" fillId="47" borderId="20" xfId="0" applyNumberFormat="1" applyFont="1" applyFill="1" applyBorder="1" applyAlignment="1">
      <alignment/>
    </xf>
    <xf numFmtId="3" fontId="53" fillId="47" borderId="20" xfId="137" applyNumberFormat="1" applyFont="1" applyFill="1" applyBorder="1" applyAlignment="1" applyProtection="1">
      <alignment horizontal="center" vertical="center"/>
      <protection/>
    </xf>
    <xf numFmtId="10" fontId="29" fillId="0" borderId="20" xfId="132" applyNumberFormat="1" applyFont="1" applyFill="1" applyBorder="1" applyAlignment="1">
      <alignment horizontal="center" vertical="center"/>
      <protection/>
    </xf>
    <xf numFmtId="10" fontId="53" fillId="0" borderId="20" xfId="132" applyNumberFormat="1" applyFont="1" applyFill="1" applyBorder="1" applyAlignment="1">
      <alignment horizontal="center" vertical="center"/>
      <protection/>
    </xf>
    <xf numFmtId="49" fontId="0" fillId="47" borderId="20" xfId="0" applyNumberFormat="1" applyFill="1" applyBorder="1" applyAlignment="1">
      <alignment/>
    </xf>
    <xf numFmtId="49" fontId="21" fillId="47" borderId="20" xfId="0" applyNumberFormat="1" applyFont="1" applyFill="1" applyBorder="1" applyAlignment="1">
      <alignment/>
    </xf>
    <xf numFmtId="49" fontId="26" fillId="47" borderId="34" xfId="0" applyNumberFormat="1" applyFont="1" applyFill="1" applyBorder="1" applyAlignment="1">
      <alignment/>
    </xf>
    <xf numFmtId="49" fontId="26" fillId="47" borderId="32" xfId="0" applyNumberFormat="1" applyFont="1" applyFill="1" applyBorder="1" applyAlignment="1">
      <alignment/>
    </xf>
    <xf numFmtId="49" fontId="58" fillId="47" borderId="20" xfId="0" applyNumberFormat="1" applyFont="1" applyFill="1" applyBorder="1" applyAlignment="1">
      <alignment/>
    </xf>
    <xf numFmtId="10" fontId="58" fillId="0" borderId="20" xfId="132" applyNumberFormat="1" applyFont="1" applyFill="1" applyBorder="1" applyAlignment="1">
      <alignment horizontal="center" vertical="center"/>
      <protection/>
    </xf>
    <xf numFmtId="3" fontId="58" fillId="47" borderId="20" xfId="137" applyNumberFormat="1" applyFont="1" applyFill="1" applyBorder="1" applyAlignment="1" applyProtection="1">
      <alignment horizontal="center" vertical="center"/>
      <protection/>
    </xf>
    <xf numFmtId="49" fontId="101" fillId="47" borderId="20" xfId="0" applyNumberFormat="1" applyFont="1" applyFill="1" applyBorder="1" applyAlignment="1">
      <alignment/>
    </xf>
    <xf numFmtId="49" fontId="58" fillId="47" borderId="35" xfId="0" applyNumberFormat="1" applyFont="1" applyFill="1" applyBorder="1" applyAlignment="1">
      <alignment/>
    </xf>
    <xf numFmtId="3" fontId="58" fillId="47" borderId="19" xfId="137" applyNumberFormat="1" applyFont="1" applyFill="1" applyBorder="1" applyAlignment="1" applyProtection="1">
      <alignment horizontal="center" vertical="center"/>
      <protection/>
    </xf>
    <xf numFmtId="10" fontId="58" fillId="0" borderId="36" xfId="132" applyNumberFormat="1" applyFont="1" applyFill="1" applyBorder="1" applyAlignment="1">
      <alignment horizontal="center" vertical="center"/>
      <protection/>
    </xf>
    <xf numFmtId="49" fontId="0" fillId="47" borderId="27" xfId="0" applyNumberFormat="1" applyFont="1" applyFill="1" applyBorder="1" applyAlignment="1">
      <alignment/>
    </xf>
    <xf numFmtId="3" fontId="5" fillId="47" borderId="22" xfId="137" applyNumberFormat="1" applyFont="1" applyFill="1" applyBorder="1" applyAlignment="1" applyProtection="1">
      <alignment horizontal="center" vertical="center"/>
      <protection/>
    </xf>
    <xf numFmtId="3" fontId="5" fillId="47" borderId="37" xfId="137" applyNumberFormat="1" applyFont="1" applyFill="1" applyBorder="1" applyAlignment="1" applyProtection="1">
      <alignment horizontal="center" vertical="center"/>
      <protection/>
    </xf>
    <xf numFmtId="49" fontId="36" fillId="47" borderId="20" xfId="0" applyNumberFormat="1" applyFont="1" applyFill="1" applyBorder="1" applyAlignment="1">
      <alignment/>
    </xf>
    <xf numFmtId="49" fontId="5" fillId="0" borderId="0" xfId="0" applyNumberFormat="1" applyFont="1" applyFill="1" applyBorder="1" applyAlignment="1">
      <alignment/>
    </xf>
    <xf numFmtId="49" fontId="29" fillId="0" borderId="0" xfId="0" applyNumberFormat="1" applyFont="1" applyFill="1" applyAlignment="1">
      <alignment/>
    </xf>
    <xf numFmtId="0" fontId="26" fillId="0" borderId="0" xfId="0" applyNumberFormat="1" applyFont="1" applyFill="1" applyAlignment="1">
      <alignment horizontal="center"/>
    </xf>
    <xf numFmtId="0" fontId="29" fillId="0" borderId="0" xfId="0" applyNumberFormat="1" applyFont="1" applyFill="1" applyAlignment="1">
      <alignment/>
    </xf>
    <xf numFmtId="0" fontId="29" fillId="0" borderId="0" xfId="0" applyNumberFormat="1" applyFont="1" applyFill="1" applyAlignment="1">
      <alignment horizontal="left"/>
    </xf>
    <xf numFmtId="0" fontId="5" fillId="0" borderId="0" xfId="0" applyNumberFormat="1" applyFont="1" applyFill="1" applyAlignment="1">
      <alignment horizontal="left"/>
    </xf>
    <xf numFmtId="49" fontId="5" fillId="0" borderId="0" xfId="0" applyNumberFormat="1" applyFont="1" applyFill="1" applyAlignment="1">
      <alignment horizontal="left"/>
    </xf>
    <xf numFmtId="49" fontId="29" fillId="0" borderId="0" xfId="0" applyNumberFormat="1" applyFont="1" applyFill="1" applyAlignment="1">
      <alignment horizontal="left"/>
    </xf>
    <xf numFmtId="0" fontId="53" fillId="0" borderId="0" xfId="0" applyNumberFormat="1" applyFont="1" applyFill="1" applyAlignment="1">
      <alignment/>
    </xf>
    <xf numFmtId="49" fontId="53" fillId="0" borderId="0" xfId="0" applyNumberFormat="1" applyFont="1" applyFill="1" applyAlignment="1">
      <alignment/>
    </xf>
    <xf numFmtId="49" fontId="33" fillId="0" borderId="0" xfId="0" applyNumberFormat="1" applyFont="1" applyFill="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left"/>
    </xf>
    <xf numFmtId="49" fontId="0" fillId="0" borderId="20" xfId="0" applyNumberFormat="1" applyFont="1" applyFill="1" applyBorder="1" applyAlignment="1">
      <alignment horizontal="left"/>
    </xf>
    <xf numFmtId="49" fontId="1" fillId="0" borderId="0" xfId="0" applyNumberFormat="1" applyFont="1" applyFill="1" applyBorder="1" applyAlignment="1">
      <alignment horizontal="left"/>
    </xf>
    <xf numFmtId="0" fontId="0" fillId="0" borderId="0" xfId="0" applyNumberFormat="1" applyFont="1" applyFill="1" applyAlignment="1">
      <alignment horizontal="left"/>
    </xf>
    <xf numFmtId="0" fontId="5" fillId="0" borderId="0" xfId="0" applyNumberFormat="1" applyFont="1" applyFill="1" applyAlignment="1">
      <alignment horizontal="left" wrapText="1"/>
    </xf>
    <xf numFmtId="210" fontId="0" fillId="0" borderId="0" xfId="0" applyNumberFormat="1" applyFont="1" applyFill="1" applyAlignment="1">
      <alignment horizontal="left"/>
    </xf>
    <xf numFmtId="210" fontId="21" fillId="0" borderId="0" xfId="0" applyNumberFormat="1" applyFont="1" applyFill="1" applyAlignment="1">
      <alignment horizontal="left"/>
    </xf>
    <xf numFmtId="0" fontId="26" fillId="0" borderId="0" xfId="0" applyNumberFormat="1" applyFont="1" applyFill="1" applyAlignment="1">
      <alignment horizontal="center" wrapText="1"/>
    </xf>
    <xf numFmtId="210" fontId="26" fillId="0" borderId="0" xfId="0" applyNumberFormat="1" applyFont="1" applyFill="1" applyAlignment="1">
      <alignment horizontal="center"/>
    </xf>
    <xf numFmtId="210" fontId="112" fillId="0" borderId="0" xfId="0" applyNumberFormat="1" applyFont="1" applyFill="1" applyAlignment="1">
      <alignment horizontal="center"/>
    </xf>
    <xf numFmtId="210" fontId="112" fillId="0" borderId="0" xfId="0" applyNumberFormat="1" applyFont="1" applyFill="1" applyAlignment="1">
      <alignment horizontal="center" wrapText="1"/>
    </xf>
    <xf numFmtId="210" fontId="26" fillId="0" borderId="0" xfId="0" applyNumberFormat="1" applyFont="1" applyFill="1" applyAlignment="1">
      <alignment horizontal="center" wrapText="1"/>
    </xf>
    <xf numFmtId="210" fontId="5" fillId="0" borderId="0" xfId="0" applyNumberFormat="1" applyFont="1" applyFill="1" applyAlignment="1">
      <alignment/>
    </xf>
    <xf numFmtId="0" fontId="25" fillId="49" borderId="20" xfId="0" applyFont="1" applyFill="1" applyBorder="1" applyAlignment="1" applyProtection="1">
      <alignment horizontal="left" vertical="center"/>
      <protection/>
    </xf>
    <xf numFmtId="0" fontId="25" fillId="49" borderId="20" xfId="140" applyFont="1" applyFill="1" applyBorder="1" applyAlignment="1">
      <alignment horizontal="left"/>
      <protection/>
    </xf>
    <xf numFmtId="210" fontId="0" fillId="49" borderId="0" xfId="0" applyNumberFormat="1" applyFill="1" applyAlignment="1">
      <alignment horizontal="left"/>
    </xf>
    <xf numFmtId="49" fontId="0" fillId="49" borderId="0" xfId="0" applyNumberFormat="1" applyFont="1" applyFill="1" applyAlignment="1">
      <alignment horizontal="left"/>
    </xf>
    <xf numFmtId="0" fontId="21" fillId="49" borderId="20" xfId="0" applyFont="1" applyFill="1" applyBorder="1" applyAlignment="1" applyProtection="1">
      <alignment horizontal="left" vertical="center"/>
      <protection/>
    </xf>
    <xf numFmtId="0" fontId="21" fillId="49" borderId="20" xfId="140" applyFont="1" applyFill="1" applyBorder="1" applyAlignment="1">
      <alignment horizontal="left" vertical="center"/>
      <protection/>
    </xf>
    <xf numFmtId="1" fontId="21" fillId="49" borderId="20" xfId="0" applyNumberFormat="1" applyFont="1" applyFill="1" applyBorder="1" applyAlignment="1" applyProtection="1">
      <alignment horizontal="center" vertical="center"/>
      <protection/>
    </xf>
    <xf numFmtId="1" fontId="0" fillId="49" borderId="20" xfId="0" applyNumberFormat="1" applyFont="1" applyFill="1" applyBorder="1" applyAlignment="1" applyProtection="1">
      <alignment horizontal="center" vertical="center"/>
      <protection/>
    </xf>
    <xf numFmtId="1" fontId="21" fillId="49" borderId="20" xfId="0" applyNumberFormat="1" applyFont="1" applyFill="1" applyBorder="1" applyAlignment="1">
      <alignment horizontal="center" vertical="center"/>
    </xf>
    <xf numFmtId="10" fontId="0" fillId="49" borderId="38" xfId="132" applyNumberFormat="1" applyFont="1" applyFill="1" applyBorder="1" applyAlignment="1">
      <alignment horizontal="center" vertical="center"/>
      <protection/>
    </xf>
    <xf numFmtId="210" fontId="5" fillId="49" borderId="0" xfId="0" applyNumberFormat="1" applyFont="1" applyFill="1" applyAlignment="1">
      <alignment/>
    </xf>
    <xf numFmtId="49" fontId="5" fillId="49" borderId="0" xfId="0" applyNumberFormat="1" applyFont="1" applyFill="1" applyAlignment="1">
      <alignment/>
    </xf>
    <xf numFmtId="211" fontId="21" fillId="49" borderId="20" xfId="0" applyNumberFormat="1" applyFont="1" applyFill="1" applyBorder="1" applyAlignment="1" applyProtection="1">
      <alignment horizontal="center" vertical="center"/>
      <protection/>
    </xf>
    <xf numFmtId="211" fontId="102" fillId="49" borderId="20" xfId="0" applyNumberFormat="1" applyFont="1" applyFill="1" applyBorder="1" applyAlignment="1" applyProtection="1">
      <alignment horizontal="center" vertical="center"/>
      <protection/>
    </xf>
    <xf numFmtId="0" fontId="21" fillId="49" borderId="20" xfId="0" applyFont="1" applyFill="1" applyBorder="1" applyAlignment="1" applyProtection="1">
      <alignment horizontal="left" vertical="center"/>
      <protection/>
    </xf>
    <xf numFmtId="212" fontId="21" fillId="49" borderId="20" xfId="0" applyNumberFormat="1" applyFont="1" applyFill="1" applyBorder="1" applyAlignment="1">
      <alignment horizontal="center" vertical="center"/>
    </xf>
    <xf numFmtId="212" fontId="0" fillId="49" borderId="20" xfId="0" applyNumberFormat="1" applyFont="1" applyFill="1" applyBorder="1" applyAlignment="1">
      <alignment horizontal="center" vertical="center"/>
    </xf>
    <xf numFmtId="49" fontId="0" fillId="49" borderId="20" xfId="0" applyNumberFormat="1" applyFont="1" applyFill="1" applyBorder="1" applyAlignment="1" applyProtection="1">
      <alignment horizontal="center" vertical="center"/>
      <protection/>
    </xf>
    <xf numFmtId="0" fontId="25" fillId="49" borderId="20" xfId="0" applyFont="1" applyFill="1" applyBorder="1" applyAlignment="1" applyProtection="1">
      <alignment horizontal="left" vertical="top"/>
      <protection/>
    </xf>
    <xf numFmtId="1" fontId="21" fillId="49" borderId="20" xfId="0" applyNumberFormat="1" applyFont="1" applyFill="1" applyBorder="1" applyAlignment="1" applyProtection="1">
      <alignment horizontal="center" vertical="center"/>
      <protection/>
    </xf>
    <xf numFmtId="210" fontId="21" fillId="49" borderId="20" xfId="0" applyNumberFormat="1" applyFont="1" applyFill="1" applyBorder="1" applyAlignment="1" applyProtection="1">
      <alignment horizontal="center" vertical="center"/>
      <protection/>
    </xf>
    <xf numFmtId="210" fontId="21" fillId="49" borderId="20" xfId="0" applyNumberFormat="1" applyFont="1" applyFill="1" applyBorder="1" applyAlignment="1" applyProtection="1">
      <alignment horizontal="center" vertical="center"/>
      <protection/>
    </xf>
    <xf numFmtId="10" fontId="0" fillId="49" borderId="20" xfId="132" applyNumberFormat="1" applyFont="1" applyFill="1" applyBorder="1" applyAlignment="1">
      <alignment horizontal="center" vertical="center"/>
      <protection/>
    </xf>
    <xf numFmtId="3" fontId="21" fillId="49" borderId="20" xfId="0" applyNumberFormat="1" applyFont="1" applyFill="1" applyBorder="1" applyAlignment="1" applyProtection="1">
      <alignment horizontal="center" vertical="center"/>
      <protection/>
    </xf>
    <xf numFmtId="3" fontId="0" fillId="49" borderId="20" xfId="0" applyNumberFormat="1" applyFont="1" applyFill="1" applyBorder="1" applyAlignment="1" applyProtection="1">
      <alignment horizontal="center" vertical="center"/>
      <protection/>
    </xf>
    <xf numFmtId="3" fontId="0" fillId="49" borderId="20" xfId="149" applyNumberFormat="1" applyFont="1" applyFill="1" applyBorder="1" applyAlignment="1" applyProtection="1">
      <alignment horizontal="center" vertical="center"/>
      <protection/>
    </xf>
    <xf numFmtId="3" fontId="21" fillId="49" borderId="20" xfId="0" applyNumberFormat="1" applyFont="1" applyFill="1" applyBorder="1" applyAlignment="1">
      <alignment horizontal="center" vertical="center"/>
    </xf>
    <xf numFmtId="3" fontId="21" fillId="49" borderId="20" xfId="0" applyNumberFormat="1" applyFont="1" applyFill="1" applyBorder="1" applyAlignment="1" applyProtection="1">
      <alignment horizontal="center" vertical="center"/>
      <protection/>
    </xf>
    <xf numFmtId="3" fontId="0" fillId="49" borderId="20" xfId="141" applyNumberFormat="1" applyFont="1" applyFill="1" applyBorder="1" applyAlignment="1" applyProtection="1">
      <alignment horizontal="center" vertical="center"/>
      <protection/>
    </xf>
    <xf numFmtId="3" fontId="21" fillId="49" borderId="20" xfId="141" applyNumberFormat="1" applyFont="1" applyFill="1" applyBorder="1" applyAlignment="1" applyProtection="1">
      <alignment horizontal="center" vertical="center"/>
      <protection/>
    </xf>
    <xf numFmtId="194" fontId="21" fillId="49" borderId="20" xfId="0" applyNumberFormat="1" applyFont="1" applyFill="1" applyBorder="1" applyAlignment="1" applyProtection="1">
      <alignment horizontal="center" vertical="center" shrinkToFit="1"/>
      <protection/>
    </xf>
    <xf numFmtId="194" fontId="0" fillId="49" borderId="20" xfId="0" applyNumberFormat="1" applyFont="1" applyFill="1" applyBorder="1" applyAlignment="1" applyProtection="1">
      <alignment horizontal="center" vertical="center" shrinkToFit="1"/>
      <protection/>
    </xf>
    <xf numFmtId="211" fontId="0" fillId="49" borderId="20" xfId="0" applyNumberFormat="1" applyFont="1" applyFill="1" applyBorder="1" applyAlignment="1" applyProtection="1">
      <alignment horizontal="center" vertical="center"/>
      <protection/>
    </xf>
    <xf numFmtId="0" fontId="21" fillId="47" borderId="20" xfId="0" applyFont="1" applyFill="1" applyBorder="1" applyAlignment="1" applyProtection="1">
      <alignment horizontal="left" vertical="center"/>
      <protection/>
    </xf>
    <xf numFmtId="3" fontId="21" fillId="47" borderId="20" xfId="0" applyNumberFormat="1" applyFont="1" applyFill="1" applyBorder="1" applyAlignment="1" applyProtection="1">
      <alignment horizontal="center" vertical="center"/>
      <protection/>
    </xf>
    <xf numFmtId="10" fontId="0" fillId="47" borderId="38" xfId="132" applyNumberFormat="1" applyFont="1" applyFill="1" applyBorder="1" applyAlignment="1">
      <alignment horizontal="center" vertical="center"/>
      <protection/>
    </xf>
    <xf numFmtId="210" fontId="5" fillId="47" borderId="0" xfId="0" applyNumberFormat="1" applyFont="1" applyFill="1" applyAlignment="1">
      <alignment/>
    </xf>
    <xf numFmtId="49" fontId="5" fillId="47" borderId="0" xfId="0" applyNumberFormat="1" applyFont="1" applyFill="1" applyAlignment="1">
      <alignment/>
    </xf>
    <xf numFmtId="211" fontId="21" fillId="47" borderId="20" xfId="0" applyNumberFormat="1" applyFont="1" applyFill="1" applyBorder="1" applyAlignment="1" applyProtection="1">
      <alignment horizontal="center" vertical="center"/>
      <protection/>
    </xf>
    <xf numFmtId="211" fontId="102" fillId="47" borderId="20" xfId="0" applyNumberFormat="1" applyFont="1" applyFill="1" applyBorder="1" applyAlignment="1" applyProtection="1">
      <alignment horizontal="center" vertical="center"/>
      <protection/>
    </xf>
    <xf numFmtId="0" fontId="0" fillId="47" borderId="20" xfId="0" applyFont="1" applyFill="1" applyBorder="1" applyAlignment="1" applyProtection="1">
      <alignment horizontal="left" vertical="center"/>
      <protection/>
    </xf>
    <xf numFmtId="49" fontId="0" fillId="47" borderId="20" xfId="141" applyNumberFormat="1" applyFont="1" applyFill="1" applyBorder="1" applyAlignment="1" applyProtection="1">
      <alignment horizontal="left" vertical="center"/>
      <protection/>
    </xf>
    <xf numFmtId="1" fontId="21" fillId="47" borderId="20" xfId="0" applyNumberFormat="1" applyFont="1" applyFill="1" applyBorder="1" applyAlignment="1" applyProtection="1">
      <alignment horizontal="center" vertical="center"/>
      <protection/>
    </xf>
    <xf numFmtId="1" fontId="0" fillId="47" borderId="20" xfId="0" applyNumberFormat="1" applyFont="1" applyFill="1" applyBorder="1" applyAlignment="1" applyProtection="1">
      <alignment horizontal="center" vertical="center"/>
      <protection/>
    </xf>
    <xf numFmtId="1" fontId="21" fillId="47" borderId="20" xfId="0" applyNumberFormat="1" applyFont="1" applyFill="1" applyBorder="1" applyAlignment="1">
      <alignment horizontal="center" vertical="center"/>
    </xf>
    <xf numFmtId="49" fontId="0" fillId="47" borderId="20" xfId="0" applyNumberFormat="1" applyFont="1" applyFill="1" applyBorder="1" applyAlignment="1" applyProtection="1">
      <alignment horizontal="left" vertical="center"/>
      <protection/>
    </xf>
    <xf numFmtId="1" fontId="0" fillId="47" borderId="20" xfId="149" applyNumberFormat="1" applyFont="1" applyFill="1" applyBorder="1" applyAlignment="1" applyProtection="1">
      <alignment horizontal="center" vertical="center"/>
      <protection/>
    </xf>
    <xf numFmtId="0" fontId="0" fillId="47" borderId="20" xfId="0" applyFill="1" applyBorder="1" applyAlignment="1" applyProtection="1">
      <alignment horizontal="left" vertical="center"/>
      <protection/>
    </xf>
    <xf numFmtId="0" fontId="0" fillId="47" borderId="20" xfId="140" applyFont="1" applyFill="1" applyBorder="1" applyAlignment="1">
      <alignment horizontal="left" vertical="center"/>
      <protection/>
    </xf>
    <xf numFmtId="3" fontId="0" fillId="47" borderId="20" xfId="0" applyNumberFormat="1" applyFont="1" applyFill="1" applyBorder="1" applyAlignment="1" applyProtection="1">
      <alignment horizontal="center" vertical="center"/>
      <protection/>
    </xf>
    <xf numFmtId="3" fontId="0" fillId="47" borderId="20" xfId="149" applyNumberFormat="1" applyFont="1" applyFill="1" applyBorder="1" applyAlignment="1" applyProtection="1">
      <alignment horizontal="center" vertical="center"/>
      <protection/>
    </xf>
    <xf numFmtId="3" fontId="0" fillId="47" borderId="20" xfId="0" applyNumberFormat="1" applyFont="1" applyFill="1" applyBorder="1" applyAlignment="1">
      <alignment horizontal="center" vertical="center"/>
    </xf>
    <xf numFmtId="3" fontId="21" fillId="47" borderId="20" xfId="0" applyNumberFormat="1" applyFont="1" applyFill="1" applyBorder="1" applyAlignment="1">
      <alignment horizontal="center" vertical="center"/>
    </xf>
    <xf numFmtId="194" fontId="21" fillId="47" borderId="20" xfId="0" applyNumberFormat="1" applyFont="1" applyFill="1" applyBorder="1" applyAlignment="1" applyProtection="1">
      <alignment horizontal="center" vertical="center" shrinkToFit="1"/>
      <protection/>
    </xf>
    <xf numFmtId="194" fontId="0" fillId="47" borderId="20" xfId="0" applyNumberFormat="1" applyFont="1" applyFill="1" applyBorder="1" applyAlignment="1" applyProtection="1">
      <alignment horizontal="center" vertical="center" shrinkToFit="1"/>
      <protection/>
    </xf>
    <xf numFmtId="3" fontId="0" fillId="47" borderId="20" xfId="0" applyNumberFormat="1" applyFont="1" applyFill="1" applyBorder="1" applyAlignment="1" applyProtection="1">
      <alignment horizontal="left" vertical="center" wrapText="1" shrinkToFit="1"/>
      <protection locked="0"/>
    </xf>
    <xf numFmtId="194" fontId="21" fillId="47" borderId="20" xfId="0" applyNumberFormat="1" applyFont="1" applyFill="1" applyBorder="1" applyAlignment="1" applyProtection="1">
      <alignment horizontal="center" vertical="center" shrinkToFit="1"/>
      <protection/>
    </xf>
    <xf numFmtId="194" fontId="107" fillId="47" borderId="20" xfId="0" applyNumberFormat="1" applyFont="1" applyFill="1" applyBorder="1" applyAlignment="1" applyProtection="1">
      <alignment horizontal="center" vertical="center" shrinkToFit="1"/>
      <protection locked="0"/>
    </xf>
    <xf numFmtId="194" fontId="21" fillId="47" borderId="20" xfId="0" applyNumberFormat="1" applyFont="1" applyFill="1" applyBorder="1" applyAlignment="1">
      <alignment horizontal="center" vertical="center" shrinkToFit="1"/>
    </xf>
    <xf numFmtId="1" fontId="0" fillId="47" borderId="20" xfId="0" applyNumberFormat="1" applyFont="1" applyFill="1" applyBorder="1" applyAlignment="1">
      <alignment horizontal="center" vertical="center"/>
    </xf>
    <xf numFmtId="49" fontId="0" fillId="47" borderId="20" xfId="0" applyNumberFormat="1" applyFill="1" applyBorder="1" applyAlignment="1" applyProtection="1">
      <alignment horizontal="left" vertical="center"/>
      <protection/>
    </xf>
    <xf numFmtId="211" fontId="0" fillId="47" borderId="20" xfId="0" applyNumberFormat="1" applyFont="1" applyFill="1" applyBorder="1" applyAlignment="1" applyProtection="1">
      <alignment horizontal="center" vertical="center"/>
      <protection/>
    </xf>
    <xf numFmtId="211" fontId="0" fillId="47" borderId="20" xfId="149" applyNumberFormat="1" applyFont="1" applyFill="1" applyBorder="1" applyAlignment="1" applyProtection="1">
      <alignment horizontal="center" vertical="center"/>
      <protection/>
    </xf>
    <xf numFmtId="211" fontId="21" fillId="47" borderId="20" xfId="0" applyNumberFormat="1" applyFont="1" applyFill="1" applyBorder="1" applyAlignment="1">
      <alignment horizontal="center" vertical="center"/>
    </xf>
    <xf numFmtId="3" fontId="0" fillId="47" borderId="20" xfId="141" applyNumberFormat="1" applyFont="1" applyFill="1" applyBorder="1" applyAlignment="1" applyProtection="1">
      <alignment horizontal="center" vertical="center"/>
      <protection/>
    </xf>
    <xf numFmtId="3" fontId="21" fillId="47" borderId="20" xfId="141" applyNumberFormat="1" applyFont="1" applyFill="1" applyBorder="1" applyAlignment="1" applyProtection="1">
      <alignment horizontal="center" vertical="center"/>
      <protection/>
    </xf>
    <xf numFmtId="3" fontId="0" fillId="47" borderId="21" xfId="141" applyNumberFormat="1" applyFont="1" applyFill="1" applyBorder="1" applyAlignment="1" applyProtection="1">
      <alignment horizontal="center" vertical="center"/>
      <protection/>
    </xf>
    <xf numFmtId="3" fontId="21" fillId="47" borderId="21" xfId="141" applyNumberFormat="1" applyFont="1" applyFill="1" applyBorder="1" applyAlignment="1" applyProtection="1">
      <alignment horizontal="center" vertical="center"/>
      <protection/>
    </xf>
    <xf numFmtId="49" fontId="102" fillId="47" borderId="20" xfId="0" applyNumberFormat="1" applyFont="1" applyFill="1" applyBorder="1" applyAlignment="1" applyProtection="1">
      <alignment horizontal="left" vertical="center"/>
      <protection/>
    </xf>
    <xf numFmtId="212" fontId="21" fillId="47" borderId="20" xfId="0" applyNumberFormat="1" applyFont="1" applyFill="1" applyBorder="1" applyAlignment="1">
      <alignment horizontal="center" vertical="center"/>
    </xf>
    <xf numFmtId="212" fontId="0" fillId="47" borderId="20" xfId="0" applyNumberFormat="1" applyFont="1" applyFill="1" applyBorder="1" applyAlignment="1">
      <alignment horizontal="center" vertical="center"/>
    </xf>
    <xf numFmtId="49" fontId="0" fillId="47" borderId="20" xfId="0" applyNumberFormat="1" applyFont="1" applyFill="1" applyBorder="1" applyAlignment="1" applyProtection="1">
      <alignment horizontal="center" vertical="center"/>
      <protection/>
    </xf>
    <xf numFmtId="49" fontId="0" fillId="47" borderId="20" xfId="0" applyNumberFormat="1" applyFill="1" applyBorder="1" applyAlignment="1" applyProtection="1">
      <alignment horizontal="center" vertical="center"/>
      <protection/>
    </xf>
    <xf numFmtId="49" fontId="0" fillId="47" borderId="20" xfId="149" applyNumberFormat="1" applyFont="1" applyFill="1" applyBorder="1" applyAlignment="1" applyProtection="1">
      <alignment horizontal="center" vertical="center"/>
      <protection/>
    </xf>
    <xf numFmtId="49" fontId="21" fillId="47" borderId="20" xfId="0" applyNumberFormat="1" applyFont="1" applyFill="1" applyBorder="1" applyAlignment="1" applyProtection="1">
      <alignment horizontal="center" vertical="center"/>
      <protection/>
    </xf>
    <xf numFmtId="213" fontId="21" fillId="47" borderId="20" xfId="0" applyNumberFormat="1" applyFont="1" applyFill="1" applyBorder="1" applyAlignment="1" applyProtection="1">
      <alignment horizontal="center" vertical="center"/>
      <protection/>
    </xf>
    <xf numFmtId="49" fontId="0" fillId="47" borderId="20" xfId="0" applyNumberFormat="1" applyFont="1" applyFill="1" applyBorder="1" applyAlignment="1">
      <alignment horizontal="center" vertical="center"/>
    </xf>
    <xf numFmtId="10" fontId="0" fillId="47" borderId="20" xfId="132" applyNumberFormat="1" applyFont="1" applyFill="1" applyBorder="1" applyAlignment="1">
      <alignment horizontal="center" vertical="center"/>
      <protection/>
    </xf>
    <xf numFmtId="210" fontId="21" fillId="47" borderId="20" xfId="0" applyNumberFormat="1" applyFont="1" applyFill="1" applyBorder="1" applyAlignment="1" applyProtection="1">
      <alignment horizontal="center" vertical="center"/>
      <protection/>
    </xf>
    <xf numFmtId="210" fontId="0" fillId="47" borderId="20" xfId="0" applyNumberFormat="1" applyFont="1" applyFill="1" applyBorder="1" applyAlignment="1" applyProtection="1">
      <alignment horizontal="center" vertical="center"/>
      <protection/>
    </xf>
    <xf numFmtId="210" fontId="0" fillId="47" borderId="20" xfId="149" applyNumberFormat="1" applyFont="1" applyFill="1" applyBorder="1" applyAlignment="1" applyProtection="1">
      <alignment horizontal="center" vertical="center"/>
      <protection/>
    </xf>
    <xf numFmtId="210" fontId="21" fillId="47" borderId="20" xfId="0" applyNumberFormat="1" applyFont="1" applyFill="1" applyBorder="1" applyAlignment="1">
      <alignment horizontal="center" vertical="center"/>
    </xf>
    <xf numFmtId="0" fontId="0" fillId="47" borderId="20" xfId="0" applyNumberFormat="1" applyFont="1" applyFill="1" applyBorder="1" applyAlignment="1">
      <alignment horizontal="left" vertical="center"/>
    </xf>
    <xf numFmtId="0" fontId="25" fillId="47" borderId="20" xfId="0" applyFont="1" applyFill="1" applyBorder="1" applyAlignment="1" applyProtection="1">
      <alignment horizontal="left" vertical="center"/>
      <protection/>
    </xf>
    <xf numFmtId="210" fontId="0" fillId="47" borderId="0" xfId="0" applyNumberFormat="1" applyFill="1" applyAlignment="1">
      <alignment horizontal="left"/>
    </xf>
    <xf numFmtId="49" fontId="0" fillId="47" borderId="0" xfId="0" applyNumberFormat="1" applyFont="1" applyFill="1" applyAlignment="1">
      <alignment horizontal="left"/>
    </xf>
    <xf numFmtId="0" fontId="25" fillId="47" borderId="20" xfId="140" applyFont="1" applyFill="1" applyBorder="1" applyAlignment="1">
      <alignment horizontal="left"/>
      <protection/>
    </xf>
    <xf numFmtId="49" fontId="25" fillId="47" borderId="20" xfId="141" applyNumberFormat="1" applyFont="1" applyFill="1" applyBorder="1" applyAlignment="1" applyProtection="1">
      <alignment horizontal="left" vertical="center"/>
      <protection/>
    </xf>
    <xf numFmtId="49" fontId="25" fillId="47" borderId="20" xfId="0" applyNumberFormat="1" applyFont="1" applyFill="1" applyBorder="1" applyAlignment="1" applyProtection="1">
      <alignment horizontal="left" vertical="center"/>
      <protection/>
    </xf>
    <xf numFmtId="3" fontId="25" fillId="47" borderId="20" xfId="0" applyNumberFormat="1" applyFont="1" applyFill="1" applyBorder="1" applyAlignment="1" applyProtection="1">
      <alignment horizontal="left" vertical="center" wrapText="1" shrinkToFit="1"/>
      <protection locked="0"/>
    </xf>
    <xf numFmtId="49" fontId="104" fillId="47" borderId="20" xfId="0" applyNumberFormat="1" applyFont="1" applyFill="1" applyBorder="1" applyAlignment="1" applyProtection="1">
      <alignment horizontal="left" vertical="center"/>
      <protection/>
    </xf>
    <xf numFmtId="0" fontId="103" fillId="47" borderId="20" xfId="0" applyFont="1" applyFill="1" applyBorder="1" applyAlignment="1" applyProtection="1">
      <alignment horizontal="left" vertical="center"/>
      <protection/>
    </xf>
    <xf numFmtId="0" fontId="25" fillId="47" borderId="20" xfId="0" applyNumberFormat="1" applyFont="1" applyFill="1" applyBorder="1" applyAlignment="1">
      <alignment horizontal="left"/>
    </xf>
    <xf numFmtId="210" fontId="9" fillId="47" borderId="20" xfId="0" applyNumberFormat="1" applyFont="1" applyFill="1" applyBorder="1" applyAlignment="1" applyProtection="1">
      <alignment horizontal="center" vertical="center"/>
      <protection/>
    </xf>
    <xf numFmtId="210" fontId="9" fillId="47" borderId="20" xfId="0" applyNumberFormat="1" applyFont="1" applyFill="1" applyBorder="1" applyAlignment="1" applyProtection="1">
      <alignment horizontal="left" vertical="center"/>
      <protection/>
    </xf>
    <xf numFmtId="210" fontId="9" fillId="47" borderId="20" xfId="0" applyNumberFormat="1" applyFont="1" applyFill="1" applyBorder="1" applyAlignment="1" applyProtection="1">
      <alignment vertical="center"/>
      <protection/>
    </xf>
    <xf numFmtId="210" fontId="0" fillId="47" borderId="20" xfId="0" applyNumberFormat="1" applyFont="1" applyFill="1" applyBorder="1" applyAlignment="1" applyProtection="1">
      <alignment horizontal="left" vertical="center"/>
      <protection/>
    </xf>
    <xf numFmtId="3" fontId="21" fillId="47" borderId="20" xfId="0" applyNumberFormat="1" applyFont="1" applyFill="1" applyBorder="1" applyAlignment="1" applyProtection="1">
      <alignment horizontal="right" vertical="center"/>
      <protection/>
    </xf>
    <xf numFmtId="210" fontId="0" fillId="47" borderId="20" xfId="0" applyNumberFormat="1" applyFont="1" applyFill="1" applyBorder="1" applyAlignment="1">
      <alignment horizontal="right"/>
    </xf>
    <xf numFmtId="210" fontId="0" fillId="47" borderId="20" xfId="0" applyNumberFormat="1" applyFont="1" applyFill="1" applyBorder="1" applyAlignment="1">
      <alignment/>
    </xf>
    <xf numFmtId="210" fontId="21" fillId="47" borderId="20" xfId="0" applyNumberFormat="1" applyFont="1" applyFill="1" applyBorder="1" applyAlignment="1" applyProtection="1">
      <alignment vertical="center"/>
      <protection/>
    </xf>
    <xf numFmtId="210" fontId="21" fillId="47" borderId="20" xfId="149" applyNumberFormat="1" applyFont="1" applyFill="1" applyBorder="1" applyAlignment="1" applyProtection="1">
      <alignment vertical="center"/>
      <protection/>
    </xf>
    <xf numFmtId="3" fontId="21" fillId="47" borderId="20" xfId="0" applyNumberFormat="1" applyFont="1" applyFill="1" applyBorder="1" applyAlignment="1">
      <alignment horizontal="right"/>
    </xf>
    <xf numFmtId="210" fontId="0" fillId="47" borderId="20" xfId="149" applyNumberFormat="1" applyFont="1" applyFill="1" applyBorder="1" applyAlignment="1">
      <alignment horizontal="right"/>
    </xf>
    <xf numFmtId="210" fontId="0" fillId="47" borderId="20" xfId="0" applyNumberFormat="1" applyFont="1" applyFill="1" applyBorder="1" applyAlignment="1" applyProtection="1">
      <alignment vertical="center"/>
      <protection/>
    </xf>
    <xf numFmtId="210" fontId="0" fillId="47" borderId="20" xfId="0" applyNumberFormat="1" applyFont="1" applyFill="1" applyBorder="1" applyAlignment="1">
      <alignment horizontal="right" vertical="center"/>
    </xf>
    <xf numFmtId="210" fontId="0" fillId="47" borderId="20" xfId="0" applyNumberFormat="1" applyFont="1" applyFill="1" applyBorder="1" applyAlignment="1">
      <alignment vertical="center"/>
    </xf>
    <xf numFmtId="210" fontId="0" fillId="47" borderId="20" xfId="0" applyNumberFormat="1" applyFont="1" applyFill="1" applyBorder="1" applyAlignment="1" applyProtection="1">
      <alignment horizontal="right" vertical="center"/>
      <protection/>
    </xf>
    <xf numFmtId="210" fontId="0" fillId="47" borderId="0" xfId="0" applyNumberFormat="1" applyFont="1" applyFill="1" applyAlignment="1">
      <alignment/>
    </xf>
    <xf numFmtId="210" fontId="0" fillId="47" borderId="20" xfId="149" applyNumberFormat="1" applyFont="1" applyFill="1" applyBorder="1" applyAlignment="1" applyProtection="1">
      <alignment vertical="center"/>
      <protection/>
    </xf>
    <xf numFmtId="210" fontId="21" fillId="47" borderId="20" xfId="0" applyNumberFormat="1" applyFont="1" applyFill="1" applyBorder="1" applyAlignment="1">
      <alignment/>
    </xf>
    <xf numFmtId="210" fontId="0" fillId="47" borderId="20" xfId="98" applyNumberFormat="1" applyFont="1" applyFill="1" applyBorder="1" applyAlignment="1">
      <alignment horizontal="right"/>
    </xf>
    <xf numFmtId="49" fontId="0" fillId="49" borderId="0" xfId="0" applyNumberFormat="1" applyFont="1" applyFill="1" applyAlignment="1">
      <alignment horizontal="right"/>
    </xf>
    <xf numFmtId="210" fontId="25" fillId="49" borderId="20" xfId="0" applyNumberFormat="1" applyFont="1" applyFill="1" applyBorder="1" applyAlignment="1" applyProtection="1">
      <alignment vertical="center"/>
      <protection/>
    </xf>
    <xf numFmtId="210" fontId="110" fillId="49" borderId="20" xfId="0" applyNumberFormat="1" applyFont="1" applyFill="1" applyBorder="1" applyAlignment="1" applyProtection="1">
      <alignment vertical="center"/>
      <protection/>
    </xf>
    <xf numFmtId="210" fontId="2" fillId="49" borderId="20" xfId="0" applyNumberFormat="1" applyFont="1" applyFill="1" applyBorder="1" applyAlignment="1" applyProtection="1">
      <alignment vertical="center"/>
      <protection/>
    </xf>
    <xf numFmtId="210" fontId="110" fillId="47" borderId="20" xfId="0" applyNumberFormat="1" applyFont="1" applyFill="1" applyBorder="1" applyAlignment="1" applyProtection="1">
      <alignment vertical="center"/>
      <protection/>
    </xf>
    <xf numFmtId="210" fontId="25" fillId="47" borderId="20" xfId="0" applyNumberFormat="1" applyFont="1" applyFill="1" applyBorder="1" applyAlignment="1" applyProtection="1">
      <alignment vertical="center"/>
      <protection/>
    </xf>
    <xf numFmtId="10" fontId="25" fillId="47" borderId="38" xfId="132" applyNumberFormat="1" applyFont="1" applyFill="1" applyBorder="1" applyAlignment="1">
      <alignment vertical="center"/>
      <protection/>
    </xf>
    <xf numFmtId="210" fontId="25" fillId="47" borderId="20" xfId="149" applyNumberFormat="1" applyFont="1" applyFill="1" applyBorder="1" applyAlignment="1" applyProtection="1">
      <alignment vertical="center"/>
      <protection/>
    </xf>
    <xf numFmtId="210" fontId="25" fillId="49" borderId="20" xfId="98" applyNumberFormat="1" applyFont="1" applyFill="1" applyBorder="1" applyAlignment="1" applyProtection="1">
      <alignment vertical="center"/>
      <protection/>
    </xf>
    <xf numFmtId="210" fontId="25" fillId="47" borderId="20" xfId="98" applyNumberFormat="1" applyFont="1" applyFill="1" applyBorder="1" applyAlignment="1" applyProtection="1">
      <alignment vertical="center"/>
      <protection/>
    </xf>
    <xf numFmtId="210" fontId="25" fillId="47" borderId="20" xfId="0" applyNumberFormat="1" applyFont="1" applyFill="1" applyBorder="1" applyAlignment="1">
      <alignment/>
    </xf>
    <xf numFmtId="210" fontId="25" fillId="49" borderId="20" xfId="0" applyNumberFormat="1" applyFont="1" applyFill="1" applyBorder="1" applyAlignment="1" applyProtection="1">
      <alignment vertical="center" shrinkToFit="1"/>
      <protection/>
    </xf>
    <xf numFmtId="210" fontId="25" fillId="47" borderId="20" xfId="0" applyNumberFormat="1" applyFont="1" applyFill="1" applyBorder="1" applyAlignment="1" applyProtection="1">
      <alignment vertical="center" shrinkToFit="1"/>
      <protection locked="0"/>
    </xf>
    <xf numFmtId="210" fontId="25" fillId="47" borderId="20" xfId="0" applyNumberFormat="1" applyFont="1" applyFill="1" applyBorder="1" applyAlignment="1" applyProtection="1">
      <alignment vertical="center" shrinkToFit="1"/>
      <protection/>
    </xf>
    <xf numFmtId="210" fontId="25" fillId="47" borderId="20" xfId="0" applyNumberFormat="1" applyFont="1" applyFill="1" applyBorder="1" applyAlignment="1">
      <alignment vertical="center" shrinkToFit="1"/>
    </xf>
    <xf numFmtId="210" fontId="25" fillId="47" borderId="20" xfId="149" applyNumberFormat="1" applyFont="1" applyFill="1" applyBorder="1" applyAlignment="1" applyProtection="1">
      <alignment vertical="center" shrinkToFit="1"/>
      <protection/>
    </xf>
    <xf numFmtId="210" fontId="25" fillId="47" borderId="20" xfId="0" applyNumberFormat="1" applyFont="1" applyFill="1" applyBorder="1" applyAlignment="1">
      <alignment vertical="center"/>
    </xf>
    <xf numFmtId="210" fontId="103" fillId="49" borderId="20" xfId="0" applyNumberFormat="1" applyFont="1" applyFill="1" applyBorder="1" applyAlignment="1" applyProtection="1">
      <alignment vertical="center"/>
      <protection/>
    </xf>
    <xf numFmtId="210" fontId="25" fillId="49" borderId="20" xfId="0" applyNumberFormat="1" applyFont="1" applyFill="1" applyBorder="1" applyAlignment="1" applyProtection="1">
      <alignment/>
      <protection/>
    </xf>
    <xf numFmtId="210" fontId="25" fillId="47" borderId="20" xfId="0" applyNumberFormat="1" applyFont="1" applyFill="1" applyBorder="1" applyAlignment="1" applyProtection="1">
      <alignment/>
      <protection/>
    </xf>
    <xf numFmtId="210" fontId="25" fillId="47" borderId="20" xfId="149" applyNumberFormat="1" applyFont="1" applyFill="1" applyBorder="1" applyAlignment="1" applyProtection="1">
      <alignment/>
      <protection/>
    </xf>
    <xf numFmtId="210" fontId="25" fillId="49" borderId="20" xfId="141" applyNumberFormat="1" applyFont="1" applyFill="1" applyBorder="1" applyAlignment="1" applyProtection="1">
      <alignment vertical="center"/>
      <protection/>
    </xf>
    <xf numFmtId="210" fontId="25" fillId="47" borderId="20" xfId="141" applyNumberFormat="1" applyFont="1" applyFill="1" applyBorder="1" applyAlignment="1" applyProtection="1">
      <alignment vertical="center"/>
      <protection/>
    </xf>
    <xf numFmtId="210" fontId="103" fillId="47" borderId="20" xfId="141" applyNumberFormat="1" applyFont="1" applyFill="1" applyBorder="1" applyAlignment="1" applyProtection="1">
      <alignment vertical="center"/>
      <protection/>
    </xf>
    <xf numFmtId="210" fontId="25" fillId="47" borderId="21" xfId="141" applyNumberFormat="1" applyFont="1" applyFill="1" applyBorder="1" applyAlignment="1" applyProtection="1">
      <alignment vertical="center"/>
      <protection/>
    </xf>
    <xf numFmtId="210" fontId="103" fillId="47" borderId="21" xfId="141" applyNumberFormat="1" applyFont="1" applyFill="1" applyBorder="1" applyAlignment="1" applyProtection="1">
      <alignment vertical="center"/>
      <protection/>
    </xf>
    <xf numFmtId="210" fontId="25" fillId="49" borderId="20" xfId="149" applyNumberFormat="1" applyFont="1" applyFill="1" applyBorder="1" applyAlignment="1" applyProtection="1">
      <alignment vertical="center"/>
      <protection/>
    </xf>
    <xf numFmtId="210" fontId="25" fillId="49" borderId="20" xfId="0" applyNumberFormat="1" applyFont="1" applyFill="1" applyBorder="1" applyAlignment="1">
      <alignment vertical="center"/>
    </xf>
    <xf numFmtId="210" fontId="25" fillId="47" borderId="20" xfId="99" applyNumberFormat="1" applyFont="1" applyFill="1" applyBorder="1" applyAlignment="1" applyProtection="1">
      <alignment vertical="center"/>
      <protection/>
    </xf>
    <xf numFmtId="210" fontId="2" fillId="47" borderId="20" xfId="0" applyNumberFormat="1" applyFont="1" applyFill="1" applyBorder="1" applyAlignment="1" applyProtection="1">
      <alignment vertical="center"/>
      <protection/>
    </xf>
    <xf numFmtId="210" fontId="2" fillId="47" borderId="20" xfId="149" applyNumberFormat="1" applyFont="1" applyFill="1" applyBorder="1" applyAlignment="1" applyProtection="1">
      <alignment vertical="center"/>
      <protection/>
    </xf>
    <xf numFmtId="210" fontId="103" fillId="49" borderId="20" xfId="0" applyNumberFormat="1" applyFont="1" applyFill="1" applyBorder="1" applyAlignment="1" applyProtection="1">
      <alignment vertical="center"/>
      <protection/>
    </xf>
    <xf numFmtId="210" fontId="103" fillId="47" borderId="20" xfId="0" applyNumberFormat="1" applyFont="1" applyFill="1" applyBorder="1" applyAlignment="1" applyProtection="1">
      <alignment vertical="center"/>
      <protection/>
    </xf>
    <xf numFmtId="210" fontId="103" fillId="47" borderId="20" xfId="0" applyNumberFormat="1" applyFont="1" applyFill="1" applyBorder="1" applyAlignment="1" applyProtection="1">
      <alignment/>
      <protection/>
    </xf>
    <xf numFmtId="210" fontId="103" fillId="49" borderId="20" xfId="98" applyNumberFormat="1" applyFont="1" applyFill="1" applyBorder="1" applyAlignment="1" applyProtection="1">
      <alignment vertical="center"/>
      <protection/>
    </xf>
    <xf numFmtId="210" fontId="103" fillId="47" borderId="20" xfId="98" applyNumberFormat="1" applyFont="1" applyFill="1" applyBorder="1" applyAlignment="1" applyProtection="1">
      <alignment vertical="center"/>
      <protection/>
    </xf>
    <xf numFmtId="210" fontId="103" fillId="47" borderId="20" xfId="98" applyNumberFormat="1" applyFont="1" applyFill="1" applyBorder="1" applyAlignment="1">
      <alignment/>
    </xf>
    <xf numFmtId="210" fontId="103" fillId="47" borderId="20" xfId="0" applyNumberFormat="1" applyFont="1" applyFill="1" applyBorder="1" applyAlignment="1">
      <alignment/>
    </xf>
    <xf numFmtId="210" fontId="103" fillId="49" borderId="20" xfId="0" applyNumberFormat="1" applyFont="1" applyFill="1" applyBorder="1" applyAlignment="1" applyProtection="1">
      <alignment vertical="center" shrinkToFit="1"/>
      <protection/>
    </xf>
    <xf numFmtId="210" fontId="103" fillId="47" borderId="20" xfId="0" applyNumberFormat="1" applyFont="1" applyFill="1" applyBorder="1" applyAlignment="1" applyProtection="1">
      <alignment vertical="center" shrinkToFit="1"/>
      <protection/>
    </xf>
    <xf numFmtId="210" fontId="103" fillId="47" borderId="20" xfId="149" applyNumberFormat="1" applyFont="1" applyFill="1" applyBorder="1" applyAlignment="1" applyProtection="1">
      <alignment vertical="center" shrinkToFit="1"/>
      <protection/>
    </xf>
    <xf numFmtId="210" fontId="103" fillId="47" borderId="20" xfId="0" applyNumberFormat="1" applyFont="1" applyFill="1" applyBorder="1" applyAlignment="1" applyProtection="1">
      <alignment vertical="center" shrinkToFit="1"/>
      <protection locked="0"/>
    </xf>
    <xf numFmtId="210" fontId="103" fillId="47" borderId="20" xfId="0" applyNumberFormat="1" applyFont="1" applyFill="1" applyBorder="1" applyAlignment="1">
      <alignment vertical="center" shrinkToFit="1"/>
    </xf>
    <xf numFmtId="210" fontId="103" fillId="47" borderId="20" xfId="0" applyNumberFormat="1" applyFont="1" applyFill="1" applyBorder="1" applyAlignment="1">
      <alignment vertical="center"/>
    </xf>
    <xf numFmtId="210" fontId="103" fillId="47" borderId="20" xfId="0" applyNumberFormat="1" applyFont="1" applyFill="1" applyBorder="1" applyAlignment="1">
      <alignment vertical="center" wrapText="1"/>
    </xf>
    <xf numFmtId="210" fontId="103" fillId="49" borderId="20" xfId="0" applyNumberFormat="1" applyFont="1" applyFill="1" applyBorder="1" applyAlignment="1" applyProtection="1">
      <alignment/>
      <protection/>
    </xf>
    <xf numFmtId="210" fontId="103" fillId="49" borderId="20" xfId="0" applyNumberFormat="1" applyFont="1" applyFill="1" applyBorder="1" applyAlignment="1">
      <alignment/>
    </xf>
    <xf numFmtId="210" fontId="103" fillId="49" borderId="20" xfId="0" applyNumberFormat="1" applyFont="1" applyFill="1" applyBorder="1" applyAlignment="1">
      <alignment vertical="center"/>
    </xf>
    <xf numFmtId="210" fontId="103" fillId="47" borderId="20" xfId="99" applyNumberFormat="1" applyFont="1" applyFill="1" applyBorder="1" applyAlignment="1" applyProtection="1">
      <alignment vertical="center"/>
      <protection/>
    </xf>
    <xf numFmtId="210" fontId="103" fillId="47" borderId="20" xfId="99" applyNumberFormat="1" applyFont="1" applyFill="1" applyBorder="1" applyAlignment="1">
      <alignment/>
    </xf>
    <xf numFmtId="210" fontId="103" fillId="47" borderId="20" xfId="149" applyNumberFormat="1" applyFont="1" applyFill="1" applyBorder="1" applyAlignment="1" applyProtection="1">
      <alignment vertical="center"/>
      <protection/>
    </xf>
    <xf numFmtId="210" fontId="25" fillId="47" borderId="20" xfId="149" applyNumberFormat="1" applyFont="1" applyFill="1" applyBorder="1" applyAlignment="1">
      <alignment/>
    </xf>
    <xf numFmtId="210" fontId="25" fillId="47" borderId="0" xfId="0" applyNumberFormat="1" applyFont="1" applyFill="1" applyAlignment="1">
      <alignment/>
    </xf>
    <xf numFmtId="210" fontId="25" fillId="47" borderId="20" xfId="98" applyNumberFormat="1" applyFont="1" applyFill="1" applyBorder="1" applyAlignment="1">
      <alignment/>
    </xf>
    <xf numFmtId="215" fontId="113" fillId="47" borderId="20" xfId="0" applyNumberFormat="1" applyFont="1" applyFill="1" applyBorder="1" applyAlignment="1">
      <alignment/>
    </xf>
    <xf numFmtId="215" fontId="113" fillId="49" borderId="20" xfId="0" applyNumberFormat="1" applyFont="1" applyFill="1" applyBorder="1" applyAlignment="1">
      <alignment/>
    </xf>
    <xf numFmtId="49" fontId="0" fillId="50" borderId="0" xfId="0" applyNumberFormat="1" applyFont="1" applyFill="1" applyAlignment="1">
      <alignment horizontal="left"/>
    </xf>
    <xf numFmtId="210" fontId="21" fillId="47" borderId="0" xfId="0" applyNumberFormat="1" applyFont="1" applyFill="1" applyAlignment="1">
      <alignment horizontal="left"/>
    </xf>
    <xf numFmtId="210" fontId="0" fillId="47" borderId="0" xfId="0" applyNumberFormat="1" applyFont="1" applyFill="1" applyAlignment="1">
      <alignment horizontal="left"/>
    </xf>
    <xf numFmtId="210" fontId="0" fillId="47" borderId="0" xfId="0" applyNumberFormat="1" applyFont="1" applyFill="1" applyBorder="1" applyAlignment="1">
      <alignment horizontal="left"/>
    </xf>
    <xf numFmtId="210" fontId="21" fillId="47" borderId="0" xfId="0" applyNumberFormat="1" applyFont="1" applyFill="1" applyBorder="1" applyAlignment="1">
      <alignment horizontal="left"/>
    </xf>
    <xf numFmtId="49" fontId="0" fillId="47" borderId="0" xfId="0" applyNumberFormat="1" applyFont="1" applyFill="1" applyBorder="1" applyAlignment="1">
      <alignment horizontal="left"/>
    </xf>
    <xf numFmtId="210" fontId="111" fillId="47" borderId="0" xfId="0" applyNumberFormat="1" applyFont="1" applyFill="1" applyAlignment="1">
      <alignment horizontal="left"/>
    </xf>
    <xf numFmtId="49" fontId="19" fillId="47" borderId="0" xfId="0" applyNumberFormat="1" applyFont="1" applyFill="1" applyAlignment="1">
      <alignment horizontal="left"/>
    </xf>
    <xf numFmtId="210" fontId="5" fillId="47" borderId="20" xfId="0" applyNumberFormat="1" applyFont="1" applyFill="1" applyBorder="1" applyAlignment="1" applyProtection="1">
      <alignment horizontal="center" vertical="center" wrapText="1"/>
      <protection/>
    </xf>
    <xf numFmtId="210" fontId="5" fillId="47" borderId="20" xfId="0" applyNumberFormat="1" applyFont="1" applyFill="1" applyBorder="1" applyAlignment="1">
      <alignment horizontal="center" vertical="center" wrapText="1"/>
    </xf>
    <xf numFmtId="210" fontId="109" fillId="47" borderId="20" xfId="0" applyNumberFormat="1" applyFont="1" applyFill="1" applyBorder="1" applyAlignment="1" applyProtection="1">
      <alignment horizontal="left" vertical="center"/>
      <protection/>
    </xf>
    <xf numFmtId="210" fontId="31" fillId="47" borderId="20" xfId="0" applyNumberFormat="1" applyFont="1" applyFill="1" applyBorder="1" applyAlignment="1" applyProtection="1">
      <alignment horizontal="left" vertical="center"/>
      <protection/>
    </xf>
    <xf numFmtId="49" fontId="31" fillId="47" borderId="38" xfId="0" applyNumberFormat="1" applyFont="1" applyFill="1" applyBorder="1" applyAlignment="1" applyProtection="1">
      <alignment horizontal="left" vertical="center"/>
      <protection/>
    </xf>
    <xf numFmtId="210" fontId="103" fillId="47" borderId="20" xfId="137" applyNumberFormat="1" applyFont="1" applyFill="1" applyBorder="1" applyAlignment="1" applyProtection="1">
      <alignment vertical="center"/>
      <protection/>
    </xf>
    <xf numFmtId="210" fontId="0" fillId="47" borderId="0" xfId="0" applyNumberFormat="1" applyFill="1" applyAlignment="1">
      <alignment horizontal="right"/>
    </xf>
    <xf numFmtId="0" fontId="103" fillId="47" borderId="20" xfId="0" applyFont="1" applyFill="1" applyBorder="1" applyAlignment="1" applyProtection="1">
      <alignment horizontal="center" vertical="center"/>
      <protection/>
    </xf>
    <xf numFmtId="210" fontId="6" fillId="47" borderId="0" xfId="137" applyNumberFormat="1" applyFont="1" applyFill="1" applyBorder="1" applyAlignment="1" applyProtection="1">
      <alignment horizontal="left" vertical="center"/>
      <protection/>
    </xf>
    <xf numFmtId="210" fontId="29" fillId="47" borderId="0" xfId="0" applyNumberFormat="1" applyFont="1" applyFill="1" applyBorder="1" applyAlignment="1">
      <alignment horizontal="left" wrapText="1"/>
    </xf>
    <xf numFmtId="210" fontId="53" fillId="47" borderId="0" xfId="0" applyNumberFormat="1" applyFont="1" applyFill="1" applyBorder="1" applyAlignment="1">
      <alignment horizontal="left" wrapText="1"/>
    </xf>
    <xf numFmtId="210" fontId="1" fillId="47" borderId="0" xfId="0" applyNumberFormat="1" applyFont="1" applyFill="1" applyBorder="1" applyAlignment="1">
      <alignment horizontal="left"/>
    </xf>
    <xf numFmtId="0" fontId="29" fillId="47" borderId="0" xfId="0" applyNumberFormat="1" applyFont="1" applyFill="1" applyBorder="1" applyAlignment="1">
      <alignment horizontal="left"/>
    </xf>
    <xf numFmtId="210" fontId="26" fillId="47" borderId="0" xfId="0" applyNumberFormat="1" applyFont="1" applyFill="1" applyBorder="1" applyAlignment="1">
      <alignment horizontal="center" wrapText="1"/>
    </xf>
    <xf numFmtId="210" fontId="112" fillId="47" borderId="0" xfId="0" applyNumberFormat="1" applyFont="1" applyFill="1" applyBorder="1" applyAlignment="1">
      <alignment horizontal="center" wrapText="1"/>
    </xf>
    <xf numFmtId="0" fontId="29" fillId="47" borderId="0" xfId="0" applyNumberFormat="1" applyFont="1" applyFill="1" applyAlignment="1">
      <alignment horizontal="left"/>
    </xf>
    <xf numFmtId="210" fontId="26" fillId="47" borderId="0" xfId="0" applyNumberFormat="1" applyFont="1" applyFill="1" applyAlignment="1">
      <alignment horizontal="center"/>
    </xf>
    <xf numFmtId="210" fontId="112" fillId="47" borderId="0" xfId="0" applyNumberFormat="1" applyFont="1" applyFill="1" applyAlignment="1">
      <alignment horizontal="center"/>
    </xf>
    <xf numFmtId="49" fontId="5" fillId="47" borderId="0" xfId="0" applyNumberFormat="1" applyFont="1" applyFill="1" applyAlignment="1">
      <alignment horizontal="left"/>
    </xf>
    <xf numFmtId="49" fontId="33" fillId="47" borderId="0" xfId="0" applyNumberFormat="1" applyFont="1" applyFill="1" applyAlignment="1">
      <alignment/>
    </xf>
    <xf numFmtId="49" fontId="5" fillId="47" borderId="0" xfId="0" applyNumberFormat="1" applyFont="1" applyFill="1" applyBorder="1" applyAlignment="1">
      <alignment/>
    </xf>
    <xf numFmtId="49" fontId="33" fillId="47" borderId="0" xfId="0" applyNumberFormat="1" applyFont="1" applyFill="1" applyBorder="1" applyAlignment="1">
      <alignment/>
    </xf>
    <xf numFmtId="49" fontId="14" fillId="47" borderId="0" xfId="0" applyNumberFormat="1" applyFont="1" applyFill="1" applyAlignment="1">
      <alignment horizontal="left"/>
    </xf>
    <xf numFmtId="49" fontId="5" fillId="47" borderId="0" xfId="0" applyNumberFormat="1" applyFont="1" applyFill="1" applyAlignment="1">
      <alignment/>
    </xf>
    <xf numFmtId="49" fontId="5" fillId="47" borderId="0" xfId="0" applyNumberFormat="1" applyFont="1" applyFill="1" applyAlignment="1">
      <alignment horizontal="center"/>
    </xf>
    <xf numFmtId="49" fontId="33" fillId="47" borderId="0" xfId="0" applyNumberFormat="1" applyFont="1" applyFill="1" applyAlignment="1">
      <alignment/>
    </xf>
    <xf numFmtId="49" fontId="108" fillId="47" borderId="0" xfId="0" applyNumberFormat="1" applyFont="1" applyFill="1" applyBorder="1" applyAlignment="1">
      <alignment horizontal="center"/>
    </xf>
    <xf numFmtId="49" fontId="108" fillId="47" borderId="0" xfId="0" applyNumberFormat="1" applyFont="1" applyFill="1" applyBorder="1" applyAlignment="1">
      <alignment/>
    </xf>
    <xf numFmtId="49" fontId="14" fillId="47" borderId="0" xfId="0" applyNumberFormat="1" applyFont="1" applyFill="1" applyBorder="1" applyAlignment="1">
      <alignment/>
    </xf>
    <xf numFmtId="210" fontId="5" fillId="47" borderId="0" xfId="0" applyNumberFormat="1" applyFont="1" applyFill="1" applyBorder="1" applyAlignment="1">
      <alignment/>
    </xf>
    <xf numFmtId="49" fontId="5" fillId="47" borderId="20" xfId="0" applyNumberFormat="1" applyFont="1" applyFill="1" applyBorder="1" applyAlignment="1" applyProtection="1">
      <alignment horizontal="center" vertical="center" wrapText="1"/>
      <protection/>
    </xf>
    <xf numFmtId="49" fontId="5" fillId="47" borderId="20" xfId="0" applyNumberFormat="1" applyFont="1" applyFill="1" applyBorder="1" applyAlignment="1">
      <alignment horizontal="center" vertical="center" wrapText="1"/>
    </xf>
    <xf numFmtId="49" fontId="108" fillId="47" borderId="20" xfId="0" applyNumberFormat="1" applyFont="1" applyFill="1" applyBorder="1" applyAlignment="1" applyProtection="1">
      <alignment horizontal="center" vertical="center"/>
      <protection/>
    </xf>
    <xf numFmtId="49" fontId="14" fillId="47" borderId="20" xfId="0" applyNumberFormat="1" applyFont="1" applyFill="1" applyBorder="1" applyAlignment="1" applyProtection="1">
      <alignment horizontal="center" vertical="center"/>
      <protection/>
    </xf>
    <xf numFmtId="49" fontId="14" fillId="47" borderId="38" xfId="0" applyNumberFormat="1" applyFont="1" applyFill="1" applyBorder="1" applyAlignment="1" applyProtection="1">
      <alignment horizontal="center" vertical="center"/>
      <protection/>
    </xf>
    <xf numFmtId="3" fontId="33" fillId="47" borderId="20" xfId="137" applyNumberFormat="1" applyFont="1" applyFill="1" applyBorder="1" applyAlignment="1" applyProtection="1">
      <alignment horizontal="right" vertical="center"/>
      <protection/>
    </xf>
    <xf numFmtId="10" fontId="5" fillId="47" borderId="38" xfId="132" applyNumberFormat="1" applyFont="1" applyFill="1" applyBorder="1" applyAlignment="1">
      <alignment horizontal="right" vertical="center"/>
      <protection/>
    </xf>
    <xf numFmtId="3" fontId="33" fillId="47" borderId="20" xfId="0" applyNumberFormat="1" applyFont="1" applyFill="1" applyBorder="1" applyAlignment="1" applyProtection="1">
      <alignment horizontal="right" vertical="center"/>
      <protection/>
    </xf>
    <xf numFmtId="3" fontId="21" fillId="47" borderId="20" xfId="0" applyNumberFormat="1" applyFont="1" applyFill="1" applyBorder="1" applyAlignment="1" applyProtection="1">
      <alignment horizontal="center" vertical="center"/>
      <protection/>
    </xf>
    <xf numFmtId="0" fontId="29" fillId="47" borderId="0" xfId="0" applyNumberFormat="1" applyFont="1" applyFill="1" applyBorder="1" applyAlignment="1">
      <alignment vertical="center"/>
    </xf>
    <xf numFmtId="210" fontId="29" fillId="47" borderId="0" xfId="0" applyNumberFormat="1" applyFont="1" applyFill="1" applyBorder="1" applyAlignment="1">
      <alignment vertical="center"/>
    </xf>
    <xf numFmtId="3" fontId="5" fillId="49" borderId="0" xfId="0" applyNumberFormat="1" applyFont="1" applyFill="1" applyAlignment="1">
      <alignment/>
    </xf>
    <xf numFmtId="215" fontId="0" fillId="47" borderId="0" xfId="0" applyNumberFormat="1" applyFill="1" applyAlignment="1">
      <alignment horizontal="right"/>
    </xf>
    <xf numFmtId="49" fontId="16" fillId="0" borderId="19" xfId="0" applyNumberFormat="1" applyFont="1" applyFill="1" applyBorder="1" applyAlignment="1">
      <alignment horizontal="center"/>
    </xf>
    <xf numFmtId="49" fontId="15" fillId="0" borderId="0" xfId="0" applyNumberFormat="1" applyFont="1" applyFill="1" applyBorder="1" applyAlignment="1">
      <alignment horizontal="center"/>
    </xf>
    <xf numFmtId="49" fontId="19" fillId="0" borderId="0" xfId="0" applyNumberFormat="1" applyFont="1" applyFill="1" applyAlignment="1">
      <alignment horizontal="center"/>
    </xf>
    <xf numFmtId="0" fontId="8" fillId="0" borderId="35" xfId="0" applyNumberFormat="1" applyFont="1" applyFill="1" applyBorder="1" applyAlignment="1">
      <alignment horizontal="center" vertical="center" wrapText="1"/>
    </xf>
    <xf numFmtId="0" fontId="8" fillId="0" borderId="36"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0" fontId="8" fillId="0" borderId="39" xfId="0" applyNumberFormat="1" applyFont="1" applyFill="1" applyBorder="1" applyAlignment="1">
      <alignment horizontal="center" vertical="center" wrapText="1"/>
    </xf>
    <xf numFmtId="49" fontId="8" fillId="0" borderId="26" xfId="0" applyNumberFormat="1" applyFont="1" applyFill="1" applyBorder="1" applyAlignment="1">
      <alignment horizontal="center" vertical="distributed" wrapText="1"/>
    </xf>
    <xf numFmtId="0" fontId="5" fillId="0" borderId="25" xfId="0" applyFont="1" applyFill="1" applyBorder="1" applyAlignment="1">
      <alignment horizontal="center" vertical="distributed"/>
    </xf>
    <xf numFmtId="49" fontId="8" fillId="0" borderId="40" xfId="0" applyNumberFormat="1" applyFont="1" applyFill="1" applyBorder="1" applyAlignment="1">
      <alignment horizontal="center" vertical="center" wrapText="1"/>
    </xf>
    <xf numFmtId="49" fontId="8" fillId="0" borderId="25" xfId="0" applyNumberFormat="1" applyFont="1" applyFill="1" applyBorder="1" applyAlignment="1">
      <alignment horizontal="center" vertical="center" wrapText="1"/>
    </xf>
    <xf numFmtId="49" fontId="8" fillId="0" borderId="21" xfId="0" applyNumberFormat="1" applyFont="1" applyFill="1" applyBorder="1" applyAlignment="1">
      <alignment horizontal="center" vertical="center" wrapText="1"/>
    </xf>
    <xf numFmtId="0" fontId="5" fillId="0" borderId="41" xfId="0" applyFont="1" applyFill="1" applyBorder="1" applyAlignment="1">
      <alignment/>
    </xf>
    <xf numFmtId="49" fontId="8" fillId="0" borderId="26" xfId="0" applyNumberFormat="1" applyFont="1" applyFill="1" applyBorder="1" applyAlignment="1">
      <alignment horizontal="center" vertical="center" wrapText="1"/>
    </xf>
    <xf numFmtId="49" fontId="14" fillId="0" borderId="0" xfId="0" applyNumberFormat="1" applyFont="1" applyFill="1" applyAlignment="1">
      <alignment horizontal="left" wrapText="1"/>
    </xf>
    <xf numFmtId="49" fontId="7" fillId="0" borderId="26"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8" fillId="0" borderId="26" xfId="0" applyNumberFormat="1" applyFont="1" applyFill="1" applyBorder="1" applyAlignment="1">
      <alignment horizontal="center"/>
    </xf>
    <xf numFmtId="49" fontId="8" fillId="0" borderId="25" xfId="0" applyNumberFormat="1" applyFont="1" applyFill="1" applyBorder="1" applyAlignment="1">
      <alignment horizontal="center"/>
    </xf>
    <xf numFmtId="49" fontId="16" fillId="0" borderId="0" xfId="0" applyNumberFormat="1" applyFont="1" applyFill="1" applyBorder="1" applyAlignment="1">
      <alignment horizontal="center" wrapText="1"/>
    </xf>
    <xf numFmtId="49" fontId="14" fillId="0" borderId="0" xfId="0" applyNumberFormat="1" applyFont="1" applyFill="1" applyAlignment="1">
      <alignment/>
    </xf>
    <xf numFmtId="49" fontId="0" fillId="0" borderId="0" xfId="0" applyNumberFormat="1" applyFont="1" applyFill="1" applyBorder="1" applyAlignment="1">
      <alignment horizontal="center" wrapText="1"/>
    </xf>
    <xf numFmtId="49" fontId="4"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26" fillId="0" borderId="0" xfId="138" applyNumberFormat="1" applyFont="1" applyBorder="1" applyAlignment="1">
      <alignment horizontal="center" wrapText="1"/>
      <protection/>
    </xf>
    <xf numFmtId="49" fontId="66" fillId="0" borderId="0" xfId="138" applyNumberFormat="1" applyFont="1" applyBorder="1" applyAlignment="1">
      <alignment horizontal="center" wrapText="1"/>
      <protection/>
    </xf>
    <xf numFmtId="49" fontId="41" fillId="0" borderId="0" xfId="138" applyNumberFormat="1" applyFont="1" applyBorder="1" applyAlignment="1">
      <alignment horizontal="center" wrapText="1"/>
      <protection/>
    </xf>
    <xf numFmtId="49" fontId="8" fillId="0" borderId="26" xfId="138" applyNumberFormat="1" applyFont="1" applyBorder="1" applyAlignment="1">
      <alignment horizontal="center" vertical="center" wrapText="1"/>
      <protection/>
    </xf>
    <xf numFmtId="49" fontId="8" fillId="0" borderId="40" xfId="138" applyNumberFormat="1" applyFont="1" applyBorder="1" applyAlignment="1">
      <alignment horizontal="center" vertical="center" wrapText="1"/>
      <protection/>
    </xf>
    <xf numFmtId="49" fontId="8" fillId="0" borderId="25" xfId="138" applyNumberFormat="1" applyFont="1" applyBorder="1" applyAlignment="1">
      <alignment horizontal="center" vertical="center" wrapText="1"/>
      <protection/>
    </xf>
    <xf numFmtId="49" fontId="8" fillId="0" borderId="26" xfId="138" applyNumberFormat="1" applyFont="1" applyFill="1" applyBorder="1" applyAlignment="1">
      <alignment horizontal="center" vertical="center" wrapText="1"/>
      <protection/>
    </xf>
    <xf numFmtId="49" fontId="28" fillId="0" borderId="25" xfId="138" applyNumberFormat="1" applyFont="1" applyFill="1" applyBorder="1" applyAlignment="1">
      <alignment horizontal="center" vertical="center" wrapText="1"/>
      <protection/>
    </xf>
    <xf numFmtId="49" fontId="29" fillId="0" borderId="0" xfId="138" applyNumberFormat="1" applyFont="1" applyAlignment="1">
      <alignment horizontal="center" wrapText="1"/>
      <protection/>
    </xf>
    <xf numFmtId="49" fontId="26" fillId="0" borderId="0" xfId="138" applyNumberFormat="1" applyFont="1" applyAlignment="1">
      <alignment horizontal="center"/>
      <protection/>
    </xf>
    <xf numFmtId="0" fontId="17" fillId="0" borderId="20" xfId="138" applyNumberFormat="1" applyFont="1" applyBorder="1" applyAlignment="1">
      <alignment horizontal="center" vertical="center" wrapText="1"/>
      <protection/>
    </xf>
    <xf numFmtId="49" fontId="0" fillId="3" borderId="35" xfId="138" applyNumberFormat="1" applyFont="1" applyFill="1" applyBorder="1" applyAlignment="1">
      <alignment horizontal="center"/>
      <protection/>
    </xf>
    <xf numFmtId="49" fontId="0" fillId="3" borderId="19" xfId="138" applyNumberFormat="1" applyFont="1" applyFill="1" applyBorder="1" applyAlignment="1">
      <alignment horizontal="center"/>
      <protection/>
    </xf>
    <xf numFmtId="49" fontId="0" fillId="3" borderId="36" xfId="138" applyNumberFormat="1" applyFont="1" applyFill="1" applyBorder="1" applyAlignment="1">
      <alignment horizontal="center"/>
      <protection/>
    </xf>
    <xf numFmtId="3" fontId="35" fillId="47" borderId="41" xfId="138" applyNumberFormat="1" applyFont="1" applyFill="1" applyBorder="1" applyAlignment="1" applyProtection="1">
      <alignment horizontal="center" vertical="center" wrapText="1"/>
      <protection/>
    </xf>
    <xf numFmtId="3" fontId="35" fillId="47" borderId="23" xfId="138" applyNumberFormat="1" applyFont="1" applyFill="1" applyBorder="1" applyAlignment="1" applyProtection="1">
      <alignment horizontal="center" vertical="center" wrapText="1"/>
      <protection/>
    </xf>
    <xf numFmtId="49" fontId="8" fillId="0" borderId="20" xfId="138" applyNumberFormat="1" applyFont="1" applyFill="1" applyBorder="1" applyAlignment="1" applyProtection="1">
      <alignment horizontal="center" vertical="center" wrapText="1"/>
      <protection/>
    </xf>
    <xf numFmtId="3" fontId="8" fillId="47" borderId="21" xfId="138" applyNumberFormat="1" applyFont="1" applyFill="1" applyBorder="1" applyAlignment="1" applyProtection="1">
      <alignment horizontal="center" vertical="center" wrapText="1"/>
      <protection/>
    </xf>
    <xf numFmtId="3" fontId="8" fillId="47" borderId="23" xfId="138" applyNumberFormat="1" applyFont="1" applyFill="1" applyBorder="1" applyAlignment="1" applyProtection="1">
      <alignment horizontal="center" vertical="center" wrapText="1"/>
      <protection/>
    </xf>
    <xf numFmtId="49" fontId="0" fillId="0" borderId="0" xfId="138" applyNumberFormat="1" applyFont="1" applyAlignment="1">
      <alignment horizontal="left"/>
      <protection/>
    </xf>
    <xf numFmtId="49" fontId="34" fillId="0" borderId="0" xfId="138" applyNumberFormat="1" applyFont="1" applyAlignment="1">
      <alignment horizontal="center"/>
      <protection/>
    </xf>
    <xf numFmtId="49" fontId="8" fillId="0" borderId="20" xfId="138" applyNumberFormat="1" applyFont="1" applyFill="1" applyBorder="1" applyAlignment="1">
      <alignment horizontal="center" vertical="center" wrapText="1"/>
      <protection/>
    </xf>
    <xf numFmtId="49" fontId="19" fillId="0" borderId="0" xfId="138" applyNumberFormat="1" applyFont="1" applyAlignment="1">
      <alignment horizontal="left"/>
      <protection/>
    </xf>
    <xf numFmtId="49" fontId="4" fillId="0" borderId="0" xfId="138" applyNumberFormat="1" applyFont="1" applyBorder="1" applyAlignment="1">
      <alignment horizontal="left" wrapText="1"/>
      <protection/>
    </xf>
    <xf numFmtId="49" fontId="0" fillId="0" borderId="0" xfId="138" applyNumberFormat="1" applyFont="1" applyBorder="1" applyAlignment="1">
      <alignment horizontal="left" wrapText="1"/>
      <protection/>
    </xf>
    <xf numFmtId="49" fontId="19" fillId="0" borderId="22" xfId="138" applyNumberFormat="1" applyFont="1" applyFill="1" applyBorder="1" applyAlignment="1">
      <alignment horizontal="center" vertical="center"/>
      <protection/>
    </xf>
    <xf numFmtId="0" fontId="8" fillId="0" borderId="35" xfId="138" applyNumberFormat="1" applyFont="1" applyBorder="1" applyAlignment="1">
      <alignment horizontal="center" vertical="center" wrapText="1"/>
      <protection/>
    </xf>
    <xf numFmtId="0" fontId="8" fillId="0" borderId="36" xfId="138" applyNumberFormat="1" applyFont="1" applyBorder="1" applyAlignment="1">
      <alignment horizontal="center" vertical="center" wrapText="1"/>
      <protection/>
    </xf>
    <xf numFmtId="0" fontId="8" fillId="0" borderId="24" xfId="138" applyNumberFormat="1" applyFont="1" applyBorder="1" applyAlignment="1">
      <alignment horizontal="center" vertical="center" wrapText="1"/>
      <protection/>
    </xf>
    <xf numFmtId="0" fontId="8" fillId="0" borderId="39" xfId="138" applyNumberFormat="1" applyFont="1" applyBorder="1" applyAlignment="1">
      <alignment horizontal="center" vertical="center" wrapText="1"/>
      <protection/>
    </xf>
    <xf numFmtId="49" fontId="8" fillId="44" borderId="26" xfId="138" applyNumberFormat="1" applyFont="1" applyFill="1" applyBorder="1" applyAlignment="1">
      <alignment horizontal="center" vertical="center"/>
      <protection/>
    </xf>
    <xf numFmtId="49" fontId="8" fillId="44" borderId="25" xfId="138" applyNumberFormat="1" applyFont="1" applyFill="1" applyBorder="1" applyAlignment="1">
      <alignment horizontal="center" vertical="center"/>
      <protection/>
    </xf>
    <xf numFmtId="49" fontId="32" fillId="0" borderId="0" xfId="138" applyNumberFormat="1" applyFont="1" applyBorder="1" applyAlignment="1">
      <alignment horizontal="center" wrapText="1"/>
      <protection/>
    </xf>
    <xf numFmtId="0" fontId="56" fillId="3" borderId="26" xfId="138" applyNumberFormat="1" applyFont="1" applyFill="1" applyBorder="1" applyAlignment="1">
      <alignment horizontal="center" vertical="center" wrapText="1"/>
      <protection/>
    </xf>
    <xf numFmtId="0" fontId="56" fillId="3" borderId="25" xfId="138" applyNumberFormat="1" applyFont="1" applyFill="1" applyBorder="1" applyAlignment="1">
      <alignment horizontal="center" vertical="center" wrapText="1"/>
      <protection/>
    </xf>
    <xf numFmtId="0" fontId="57" fillId="3" borderId="26" xfId="138" applyNumberFormat="1" applyFont="1" applyFill="1" applyBorder="1" applyAlignment="1">
      <alignment horizontal="center" vertical="center" wrapText="1"/>
      <protection/>
    </xf>
    <xf numFmtId="0" fontId="57" fillId="3" borderId="25" xfId="138" applyNumberFormat="1" applyFont="1" applyFill="1" applyBorder="1" applyAlignment="1">
      <alignment horizontal="center" vertical="center" wrapText="1"/>
      <protection/>
    </xf>
    <xf numFmtId="49" fontId="15" fillId="47" borderId="0" xfId="138" applyNumberFormat="1" applyFont="1" applyFill="1" applyAlignment="1">
      <alignment horizontal="center" vertical="center" wrapText="1"/>
      <protection/>
    </xf>
    <xf numFmtId="49" fontId="4" fillId="0" borderId="0" xfId="138" applyNumberFormat="1" applyFont="1" applyAlignment="1">
      <alignment horizontal="left"/>
      <protection/>
    </xf>
    <xf numFmtId="0" fontId="26" fillId="0" borderId="0" xfId="138" applyFont="1" applyAlignment="1">
      <alignment horizontal="center"/>
      <protection/>
    </xf>
    <xf numFmtId="49" fontId="26" fillId="47" borderId="0" xfId="138" applyNumberFormat="1" applyFont="1" applyFill="1" applyAlignment="1">
      <alignment horizontal="center"/>
      <protection/>
    </xf>
    <xf numFmtId="49" fontId="8" fillId="0" borderId="25" xfId="138" applyNumberFormat="1" applyFont="1" applyFill="1" applyBorder="1" applyAlignment="1">
      <alignment horizontal="center" vertical="center" wrapText="1"/>
      <protection/>
    </xf>
    <xf numFmtId="49" fontId="4" fillId="0" borderId="0" xfId="138" applyNumberFormat="1" applyFont="1" applyFill="1" applyAlignment="1">
      <alignment horizontal="left"/>
      <protection/>
    </xf>
    <xf numFmtId="49" fontId="7" fillId="0" borderId="20" xfId="138" applyNumberFormat="1" applyFont="1" applyFill="1" applyBorder="1" applyAlignment="1">
      <alignment horizontal="center" vertical="center" wrapText="1"/>
      <protection/>
    </xf>
    <xf numFmtId="49" fontId="7" fillId="0" borderId="26" xfId="138" applyNumberFormat="1" applyFont="1" applyFill="1" applyBorder="1" applyAlignment="1">
      <alignment horizontal="center" vertical="center" wrapText="1"/>
      <protection/>
    </xf>
    <xf numFmtId="49" fontId="7" fillId="0" borderId="40" xfId="138" applyNumberFormat="1" applyFont="1" applyFill="1" applyBorder="1" applyAlignment="1">
      <alignment horizontal="center" vertical="center" wrapText="1"/>
      <protection/>
    </xf>
    <xf numFmtId="49" fontId="7" fillId="0" borderId="25" xfId="138" applyNumberFormat="1" applyFont="1" applyFill="1" applyBorder="1" applyAlignment="1">
      <alignment horizontal="center" vertical="center" wrapText="1"/>
      <protection/>
    </xf>
    <xf numFmtId="49" fontId="19" fillId="0" borderId="0" xfId="138" applyNumberFormat="1" applyFont="1" applyFill="1" applyBorder="1" applyAlignment="1">
      <alignment horizontal="left"/>
      <protection/>
    </xf>
    <xf numFmtId="49" fontId="0" fillId="0" borderId="0" xfId="138" applyNumberFormat="1" applyFont="1" applyFill="1" applyAlignment="1">
      <alignment horizontal="justify" wrapText="1"/>
      <protection/>
    </xf>
    <xf numFmtId="49" fontId="4" fillId="0" borderId="0" xfId="138" applyNumberFormat="1" applyFont="1" applyFill="1" applyAlignment="1">
      <alignment horizontal="center" vertical="top" wrapText="1"/>
      <protection/>
    </xf>
    <xf numFmtId="49" fontId="8" fillId="44" borderId="26" xfId="138" applyNumberFormat="1" applyFont="1" applyFill="1" applyBorder="1" applyAlignment="1">
      <alignment horizontal="center"/>
      <protection/>
    </xf>
    <xf numFmtId="49" fontId="8" fillId="44" borderId="25" xfId="138" applyNumberFormat="1" applyFont="1" applyFill="1" applyBorder="1" applyAlignment="1">
      <alignment horizontal="center"/>
      <protection/>
    </xf>
    <xf numFmtId="49" fontId="22" fillId="0" borderId="26" xfId="138" applyNumberFormat="1" applyFont="1" applyFill="1" applyBorder="1" applyAlignment="1">
      <alignment horizontal="center" vertical="center" wrapText="1"/>
      <protection/>
    </xf>
    <xf numFmtId="49" fontId="22" fillId="0" borderId="25" xfId="138" applyNumberFormat="1" applyFont="1" applyFill="1" applyBorder="1" applyAlignment="1">
      <alignment horizontal="center" vertical="center" wrapText="1"/>
      <protection/>
    </xf>
    <xf numFmtId="0" fontId="7" fillId="0" borderId="35" xfId="138" applyNumberFormat="1" applyFont="1" applyFill="1" applyBorder="1" applyAlignment="1">
      <alignment horizontal="center" vertical="center" wrapText="1"/>
      <protection/>
    </xf>
    <xf numFmtId="0" fontId="7" fillId="0" borderId="36" xfId="138" applyNumberFormat="1" applyFont="1" applyFill="1" applyBorder="1" applyAlignment="1">
      <alignment horizontal="center" vertical="center" wrapText="1"/>
      <protection/>
    </xf>
    <xf numFmtId="0" fontId="7" fillId="0" borderId="24" xfId="138" applyNumberFormat="1" applyFont="1" applyFill="1" applyBorder="1" applyAlignment="1">
      <alignment horizontal="center" vertical="center" wrapText="1"/>
      <protection/>
    </xf>
    <xf numFmtId="0" fontId="7" fillId="0" borderId="39" xfId="138" applyNumberFormat="1" applyFont="1" applyFill="1" applyBorder="1" applyAlignment="1">
      <alignment horizontal="center" vertical="center" wrapText="1"/>
      <protection/>
    </xf>
    <xf numFmtId="0" fontId="7" fillId="0" borderId="27" xfId="138" applyNumberFormat="1" applyFont="1" applyFill="1" applyBorder="1" applyAlignment="1">
      <alignment horizontal="center" vertical="center" wrapText="1"/>
      <protection/>
    </xf>
    <xf numFmtId="0" fontId="7" fillId="0" borderId="37" xfId="138" applyNumberFormat="1" applyFont="1" applyFill="1" applyBorder="1" applyAlignment="1">
      <alignment horizontal="center" vertical="center" wrapText="1"/>
      <protection/>
    </xf>
    <xf numFmtId="49" fontId="7" fillId="0" borderId="41" xfId="138" applyNumberFormat="1" applyFont="1" applyFill="1" applyBorder="1" applyAlignment="1">
      <alignment horizontal="center" vertical="center" wrapText="1"/>
      <protection/>
    </xf>
    <xf numFmtId="49" fontId="7" fillId="0" borderId="23" xfId="138" applyNumberFormat="1" applyFont="1" applyFill="1" applyBorder="1" applyAlignment="1">
      <alignment horizontal="center" vertical="center" wrapText="1"/>
      <protection/>
    </xf>
    <xf numFmtId="49" fontId="69" fillId="3" borderId="26" xfId="138" applyNumberFormat="1" applyFont="1" applyFill="1" applyBorder="1" applyAlignment="1">
      <alignment horizontal="center" vertical="center" wrapText="1"/>
      <protection/>
    </xf>
    <xf numFmtId="49" fontId="69" fillId="3" borderId="25" xfId="138" applyNumberFormat="1" applyFont="1" applyFill="1" applyBorder="1" applyAlignment="1">
      <alignment horizontal="center" vertical="center" wrapText="1"/>
      <protection/>
    </xf>
    <xf numFmtId="49" fontId="68" fillId="3" borderId="26" xfId="138" applyNumberFormat="1" applyFont="1" applyFill="1" applyBorder="1" applyAlignment="1">
      <alignment horizontal="center" vertical="center" wrapText="1"/>
      <protection/>
    </xf>
    <xf numFmtId="49" fontId="68" fillId="3" borderId="25" xfId="138" applyNumberFormat="1" applyFont="1" applyFill="1" applyBorder="1" applyAlignment="1">
      <alignment horizontal="center" vertical="center" wrapText="1"/>
      <protection/>
    </xf>
    <xf numFmtId="49" fontId="4" fillId="0" borderId="20" xfId="138" applyNumberFormat="1" applyFont="1" applyFill="1" applyBorder="1" applyAlignment="1">
      <alignment horizontal="center"/>
      <protection/>
    </xf>
    <xf numFmtId="49" fontId="0" fillId="0" borderId="0" xfId="138" applyNumberFormat="1" applyFont="1" applyFill="1" applyBorder="1" applyAlignment="1">
      <alignment horizontal="left"/>
      <protection/>
    </xf>
    <xf numFmtId="49" fontId="4" fillId="0" borderId="0" xfId="138" applyNumberFormat="1" applyFont="1" applyFill="1" applyBorder="1" applyAlignment="1">
      <alignment horizontal="left"/>
      <protection/>
    </xf>
    <xf numFmtId="49" fontId="4" fillId="0" borderId="0" xfId="138" applyNumberFormat="1" applyFont="1" applyFill="1" applyBorder="1" applyAlignment="1">
      <alignment horizontal="left" wrapText="1"/>
      <protection/>
    </xf>
    <xf numFmtId="49" fontId="0" fillId="0" borderId="0" xfId="138" applyNumberFormat="1" applyFont="1" applyFill="1" applyBorder="1" applyAlignment="1">
      <alignment horizontal="left" wrapText="1"/>
      <protection/>
    </xf>
    <xf numFmtId="49" fontId="7" fillId="0" borderId="22" xfId="138" applyNumberFormat="1" applyFont="1" applyFill="1" applyBorder="1" applyAlignment="1">
      <alignment horizontal="center" vertical="center" wrapText="1"/>
      <protection/>
    </xf>
    <xf numFmtId="49" fontId="16" fillId="0" borderId="0" xfId="138" applyNumberFormat="1" applyFont="1" applyFill="1" applyBorder="1" applyAlignment="1">
      <alignment horizontal="center" vertical="center" wrapText="1"/>
      <protection/>
    </xf>
    <xf numFmtId="49" fontId="14" fillId="0" borderId="0" xfId="138" applyNumberFormat="1" applyFont="1" applyFill="1" applyAlignment="1">
      <alignment horizontal="left" wrapText="1"/>
      <protection/>
    </xf>
    <xf numFmtId="49" fontId="14" fillId="0" borderId="0" xfId="138" applyNumberFormat="1" applyFont="1" applyFill="1" applyAlignment="1">
      <alignment horizontal="center" wrapText="1"/>
      <protection/>
    </xf>
    <xf numFmtId="0" fontId="4" fillId="0" borderId="0" xfId="138" applyFont="1" applyAlignment="1">
      <alignment horizontal="center"/>
      <protection/>
    </xf>
    <xf numFmtId="49" fontId="4" fillId="47" borderId="0" xfId="138" applyNumberFormat="1" applyFont="1" applyFill="1" applyAlignment="1">
      <alignment horizontal="center"/>
      <protection/>
    </xf>
    <xf numFmtId="49" fontId="24" fillId="0" borderId="0" xfId="138" applyNumberFormat="1" applyFont="1" applyFill="1" applyBorder="1" applyAlignment="1">
      <alignment horizontal="center" wrapText="1"/>
      <protection/>
    </xf>
    <xf numFmtId="49" fontId="16" fillId="0" borderId="0" xfId="138" applyNumberFormat="1" applyFont="1" applyFill="1" applyBorder="1" applyAlignment="1">
      <alignment horizontal="center" wrapText="1"/>
      <protection/>
    </xf>
    <xf numFmtId="49" fontId="72" fillId="0" borderId="0" xfId="138" applyNumberFormat="1" applyFont="1" applyFill="1" applyAlignment="1">
      <alignment horizontal="center"/>
      <protection/>
    </xf>
    <xf numFmtId="49" fontId="19" fillId="0" borderId="0" xfId="138" applyNumberFormat="1" applyFont="1" applyFill="1" applyAlignment="1">
      <alignment horizontal="center"/>
      <protection/>
    </xf>
    <xf numFmtId="49" fontId="4" fillId="0" borderId="20" xfId="138" applyNumberFormat="1" applyFont="1" applyFill="1" applyBorder="1" applyAlignment="1">
      <alignment horizontal="center" vertical="center" wrapText="1"/>
      <protection/>
    </xf>
    <xf numFmtId="49" fontId="21" fillId="0" borderId="20" xfId="138" applyNumberFormat="1" applyFont="1" applyFill="1" applyBorder="1" applyAlignment="1">
      <alignment horizontal="center" vertical="center" wrapText="1"/>
      <protection/>
    </xf>
    <xf numFmtId="49" fontId="4" fillId="0" borderId="20" xfId="138" applyNumberFormat="1" applyFont="1" applyBorder="1" applyAlignment="1">
      <alignment horizontal="center"/>
      <protection/>
    </xf>
    <xf numFmtId="49" fontId="15" fillId="0" borderId="0" xfId="138" applyNumberFormat="1" applyFont="1" applyAlignment="1">
      <alignment horizontal="center" wrapText="1"/>
      <protection/>
    </xf>
    <xf numFmtId="49" fontId="19" fillId="0" borderId="22" xfId="138" applyNumberFormat="1" applyFont="1" applyBorder="1" applyAlignment="1">
      <alignment horizontal="left"/>
      <protection/>
    </xf>
    <xf numFmtId="49" fontId="19" fillId="0" borderId="0" xfId="138" applyNumberFormat="1" applyFont="1" applyAlignment="1">
      <alignment horizontal="center"/>
      <protection/>
    </xf>
    <xf numFmtId="49" fontId="19" fillId="0" borderId="0" xfId="138" applyNumberFormat="1" applyFont="1" applyBorder="1" applyAlignment="1">
      <alignment horizontal="left"/>
      <protection/>
    </xf>
    <xf numFmtId="49" fontId="0" fillId="0" borderId="0" xfId="138" applyNumberFormat="1" applyFont="1" applyAlignment="1">
      <alignment horizontal="left" wrapText="1"/>
      <protection/>
    </xf>
    <xf numFmtId="49" fontId="4" fillId="0" borderId="0" xfId="138" applyNumberFormat="1" applyFont="1" applyAlignment="1">
      <alignment horizontal="left" wrapText="1"/>
      <protection/>
    </xf>
    <xf numFmtId="49" fontId="0" fillId="0" borderId="0" xfId="138" applyNumberFormat="1" applyFont="1" applyAlignment="1">
      <alignment/>
      <protection/>
    </xf>
    <xf numFmtId="49" fontId="32" fillId="0" borderId="0" xfId="138" applyNumberFormat="1" applyFont="1" applyBorder="1" applyAlignment="1">
      <alignment horizontal="center"/>
      <protection/>
    </xf>
    <xf numFmtId="49" fontId="26" fillId="0" borderId="0" xfId="138" applyNumberFormat="1" applyFont="1" applyBorder="1" applyAlignment="1">
      <alignment horizontal="center"/>
      <protection/>
    </xf>
    <xf numFmtId="49" fontId="8" fillId="0" borderId="35" xfId="138" applyNumberFormat="1" applyFont="1" applyFill="1" applyBorder="1" applyAlignment="1">
      <alignment horizontal="center" vertical="center" wrapText="1"/>
      <protection/>
    </xf>
    <xf numFmtId="49" fontId="8" fillId="0" borderId="36" xfId="138" applyNumberFormat="1" applyFont="1" applyFill="1" applyBorder="1" applyAlignment="1">
      <alignment horizontal="center" vertical="center" wrapText="1"/>
      <protection/>
    </xf>
    <xf numFmtId="49" fontId="8" fillId="0" borderId="24" xfId="138" applyNumberFormat="1" applyFont="1" applyFill="1" applyBorder="1" applyAlignment="1">
      <alignment horizontal="center" vertical="center" wrapText="1"/>
      <protection/>
    </xf>
    <xf numFmtId="49" fontId="8" fillId="0" borderId="39" xfId="138" applyNumberFormat="1" applyFont="1" applyFill="1" applyBorder="1" applyAlignment="1">
      <alignment horizontal="center" vertical="center" wrapText="1"/>
      <protection/>
    </xf>
    <xf numFmtId="49" fontId="8" fillId="0" borderId="27" xfId="138" applyNumberFormat="1" applyFont="1" applyFill="1" applyBorder="1" applyAlignment="1">
      <alignment horizontal="center" vertical="center" wrapText="1"/>
      <protection/>
    </xf>
    <xf numFmtId="49" fontId="8" fillId="0" borderId="37" xfId="138" applyNumberFormat="1" applyFont="1" applyFill="1" applyBorder="1" applyAlignment="1">
      <alignment horizontal="center" vertical="center" wrapText="1"/>
      <protection/>
    </xf>
    <xf numFmtId="49" fontId="57" fillId="3" borderId="26" xfId="138" applyNumberFormat="1" applyFont="1" applyFill="1" applyBorder="1" applyAlignment="1">
      <alignment horizontal="center" wrapText="1"/>
      <protection/>
    </xf>
    <xf numFmtId="49" fontId="57" fillId="3" borderId="25" xfId="138" applyNumberFormat="1" applyFont="1" applyFill="1" applyBorder="1" applyAlignment="1">
      <alignment horizontal="center" wrapText="1"/>
      <protection/>
    </xf>
    <xf numFmtId="49" fontId="56" fillId="3" borderId="26" xfId="138" applyNumberFormat="1" applyFont="1" applyFill="1" applyBorder="1" applyAlignment="1">
      <alignment horizontal="center" wrapText="1"/>
      <protection/>
    </xf>
    <xf numFmtId="49" fontId="56" fillId="3" borderId="25" xfId="138" applyNumberFormat="1" applyFont="1" applyFill="1" applyBorder="1" applyAlignment="1">
      <alignment horizontal="center" wrapText="1"/>
      <protection/>
    </xf>
    <xf numFmtId="49" fontId="14" fillId="0" borderId="0" xfId="138" applyNumberFormat="1" applyFont="1" applyBorder="1" applyAlignment="1">
      <alignment wrapText="1"/>
      <protection/>
    </xf>
    <xf numFmtId="49" fontId="14" fillId="0" borderId="0" xfId="138" applyNumberFormat="1" applyFont="1" applyBorder="1" applyAlignment="1">
      <alignment horizontal="center" wrapText="1"/>
      <protection/>
    </xf>
    <xf numFmtId="49" fontId="8" fillId="44" borderId="26" xfId="138" applyNumberFormat="1" applyFont="1" applyFill="1" applyBorder="1" applyAlignment="1">
      <alignment horizontal="center" vertical="center" wrapText="1"/>
      <protection/>
    </xf>
    <xf numFmtId="49" fontId="8" fillId="44" borderId="25" xfId="138" applyNumberFormat="1" applyFont="1" applyFill="1" applyBorder="1" applyAlignment="1">
      <alignment horizontal="center" vertical="center" wrapText="1"/>
      <protection/>
    </xf>
    <xf numFmtId="49" fontId="17" fillId="0" borderId="26" xfId="138" applyNumberFormat="1" applyFont="1" applyBorder="1" applyAlignment="1">
      <alignment horizontal="center" wrapText="1"/>
      <protection/>
    </xf>
    <xf numFmtId="49" fontId="17" fillId="0" borderId="25" xfId="138" applyNumberFormat="1" applyFont="1" applyBorder="1" applyAlignment="1">
      <alignment horizontal="center" wrapText="1"/>
      <protection/>
    </xf>
    <xf numFmtId="49" fontId="29" fillId="0" borderId="0" xfId="138" applyNumberFormat="1" applyFont="1" applyBorder="1" applyAlignment="1">
      <alignment horizontal="center" wrapText="1"/>
      <protection/>
    </xf>
    <xf numFmtId="49" fontId="29" fillId="0" borderId="0" xfId="138" applyNumberFormat="1" applyFont="1" applyAlignment="1">
      <alignment horizontal="center"/>
      <protection/>
    </xf>
    <xf numFmtId="49" fontId="7" fillId="0" borderId="20" xfId="140" applyNumberFormat="1" applyFont="1" applyFill="1" applyBorder="1" applyAlignment="1">
      <alignment horizontal="center" vertical="center" wrapText="1"/>
      <protection/>
    </xf>
    <xf numFmtId="49" fontId="86" fillId="3" borderId="26" xfId="140" applyNumberFormat="1" applyFont="1" applyFill="1" applyBorder="1" applyAlignment="1">
      <alignment horizontal="center" vertical="center" wrapText="1"/>
      <protection/>
    </xf>
    <xf numFmtId="49" fontId="86" fillId="3" borderId="25" xfId="140" applyNumberFormat="1" applyFont="1" applyFill="1" applyBorder="1" applyAlignment="1">
      <alignment horizontal="center" vertical="center" wrapText="1"/>
      <protection/>
    </xf>
    <xf numFmtId="49" fontId="7" fillId="0" borderId="25" xfId="140" applyNumberFormat="1" applyFont="1" applyFill="1" applyBorder="1" applyAlignment="1">
      <alignment horizontal="center" vertical="center" wrapText="1"/>
      <protection/>
    </xf>
    <xf numFmtId="49" fontId="4" fillId="0" borderId="0" xfId="140" applyNumberFormat="1" applyFont="1" applyBorder="1" applyAlignment="1">
      <alignment horizontal="left"/>
      <protection/>
    </xf>
    <xf numFmtId="49" fontId="7" fillId="0" borderId="35" xfId="140" applyNumberFormat="1" applyFont="1" applyFill="1" applyBorder="1" applyAlignment="1">
      <alignment horizontal="center" vertical="center"/>
      <protection/>
    </xf>
    <xf numFmtId="49" fontId="7" fillId="0" borderId="36" xfId="140" applyNumberFormat="1" applyFont="1" applyFill="1" applyBorder="1" applyAlignment="1">
      <alignment horizontal="center" vertical="center"/>
      <protection/>
    </xf>
    <xf numFmtId="49" fontId="7" fillId="0" borderId="24" xfId="140" applyNumberFormat="1" applyFont="1" applyFill="1" applyBorder="1" applyAlignment="1">
      <alignment horizontal="center" vertical="center"/>
      <protection/>
    </xf>
    <xf numFmtId="49" fontId="7" fillId="0" borderId="39" xfId="140" applyNumberFormat="1" applyFont="1" applyFill="1" applyBorder="1" applyAlignment="1">
      <alignment horizontal="center" vertical="center"/>
      <protection/>
    </xf>
    <xf numFmtId="49" fontId="7" fillId="0" borderId="27" xfId="140" applyNumberFormat="1" applyFont="1" applyFill="1" applyBorder="1" applyAlignment="1">
      <alignment horizontal="center" vertical="center"/>
      <protection/>
    </xf>
    <xf numFmtId="49" fontId="7" fillId="0" borderId="37" xfId="140" applyNumberFormat="1" applyFont="1" applyFill="1" applyBorder="1" applyAlignment="1">
      <alignment horizontal="center" vertical="center"/>
      <protection/>
    </xf>
    <xf numFmtId="49" fontId="15" fillId="0" borderId="0" xfId="140" applyNumberFormat="1" applyFont="1" applyFill="1" applyAlignment="1">
      <alignment horizontal="center" wrapText="1"/>
      <protection/>
    </xf>
    <xf numFmtId="49" fontId="15" fillId="0" borderId="0" xfId="140" applyNumberFormat="1" applyFont="1" applyAlignment="1">
      <alignment horizontal="center"/>
      <protection/>
    </xf>
    <xf numFmtId="49" fontId="5" fillId="0" borderId="0" xfId="140" applyNumberFormat="1" applyFont="1" applyAlignment="1">
      <alignment horizontal="left"/>
      <protection/>
    </xf>
    <xf numFmtId="49" fontId="7" fillId="0" borderId="26" xfId="140" applyNumberFormat="1" applyFont="1" applyFill="1" applyBorder="1" applyAlignment="1">
      <alignment horizontal="center" vertical="center"/>
      <protection/>
    </xf>
    <xf numFmtId="49" fontId="7" fillId="0" borderId="40" xfId="140" applyNumberFormat="1" applyFont="1" applyFill="1" applyBorder="1" applyAlignment="1">
      <alignment horizontal="center" vertical="center"/>
      <protection/>
    </xf>
    <xf numFmtId="49" fontId="4" fillId="0" borderId="0" xfId="140" applyNumberFormat="1" applyFont="1" applyFill="1" applyAlignment="1">
      <alignment horizontal="left"/>
      <protection/>
    </xf>
    <xf numFmtId="49" fontId="34" fillId="0" borderId="0" xfId="140" applyNumberFormat="1" applyFont="1" applyAlignment="1">
      <alignment horizontal="center"/>
      <protection/>
    </xf>
    <xf numFmtId="49" fontId="19" fillId="0" borderId="0" xfId="140" applyNumberFormat="1" applyFont="1" applyBorder="1" applyAlignment="1">
      <alignment horizontal="left"/>
      <protection/>
    </xf>
    <xf numFmtId="49" fontId="7" fillId="0" borderId="26" xfId="140" applyNumberFormat="1" applyFont="1" applyFill="1" applyBorder="1" applyAlignment="1">
      <alignment horizontal="center" vertical="center" wrapText="1"/>
      <protection/>
    </xf>
    <xf numFmtId="49" fontId="87" fillId="3" borderId="26" xfId="140" applyNumberFormat="1" applyFont="1" applyFill="1" applyBorder="1" applyAlignment="1">
      <alignment horizontal="center" vertical="center" wrapText="1"/>
      <protection/>
    </xf>
    <xf numFmtId="49" fontId="87" fillId="3" borderId="25" xfId="140" applyNumberFormat="1" applyFont="1" applyFill="1" applyBorder="1" applyAlignment="1">
      <alignment horizontal="center" vertical="center" wrapText="1"/>
      <protection/>
    </xf>
    <xf numFmtId="49" fontId="29" fillId="0" borderId="0" xfId="140" applyNumberFormat="1" applyFont="1" applyAlignment="1">
      <alignment horizontal="center"/>
      <protection/>
    </xf>
    <xf numFmtId="0" fontId="26" fillId="47" borderId="0" xfId="140" applyFont="1" applyFill="1" applyBorder="1" applyAlignment="1">
      <alignment horizontal="center"/>
      <protection/>
    </xf>
    <xf numFmtId="49" fontId="32" fillId="0" borderId="0" xfId="140" applyNumberFormat="1" applyFont="1" applyAlignment="1">
      <alignment horizontal="center"/>
      <protection/>
    </xf>
    <xf numFmtId="49" fontId="26" fillId="0" borderId="0" xfId="140" applyNumberFormat="1" applyFont="1" applyBorder="1" applyAlignment="1">
      <alignment horizontal="center" wrapText="1"/>
      <protection/>
    </xf>
    <xf numFmtId="49" fontId="7" fillId="0" borderId="26" xfId="140" applyNumberFormat="1" applyFont="1" applyBorder="1" applyAlignment="1">
      <alignment horizontal="center" vertical="center" wrapText="1"/>
      <protection/>
    </xf>
    <xf numFmtId="49" fontId="7" fillId="0" borderId="25" xfId="140" applyNumberFormat="1" applyFont="1" applyBorder="1" applyAlignment="1">
      <alignment horizontal="center" vertical="center" wrapText="1"/>
      <protection/>
    </xf>
    <xf numFmtId="49" fontId="26" fillId="0" borderId="0" xfId="140" applyNumberFormat="1" applyFont="1" applyBorder="1" applyAlignment="1">
      <alignment horizontal="center"/>
      <protection/>
    </xf>
    <xf numFmtId="49" fontId="77" fillId="4" borderId="21" xfId="140" applyNumberFormat="1" applyFont="1" applyFill="1" applyBorder="1" applyAlignment="1">
      <alignment horizontal="center" vertical="center" wrapText="1"/>
      <protection/>
    </xf>
    <xf numFmtId="49" fontId="77" fillId="4" borderId="41" xfId="140" applyNumberFormat="1" applyFont="1" applyFill="1" applyBorder="1" applyAlignment="1">
      <alignment horizontal="center" vertical="center" wrapText="1"/>
      <protection/>
    </xf>
    <xf numFmtId="49" fontId="77" fillId="4" borderId="23" xfId="140" applyNumberFormat="1" applyFont="1" applyFill="1" applyBorder="1" applyAlignment="1">
      <alignment horizontal="center" vertical="center" wrapText="1"/>
      <protection/>
    </xf>
    <xf numFmtId="49" fontId="0" fillId="0" borderId="0" xfId="140" applyNumberFormat="1" applyFont="1" applyAlignment="1">
      <alignment horizontal="left"/>
      <protection/>
    </xf>
    <xf numFmtId="49" fontId="85" fillId="0" borderId="26" xfId="140" applyNumberFormat="1" applyFont="1" applyBorder="1" applyAlignment="1">
      <alignment horizontal="center" vertical="center" wrapText="1"/>
      <protection/>
    </xf>
    <xf numFmtId="49" fontId="85" fillId="0" borderId="25" xfId="140" applyNumberFormat="1" applyFont="1" applyBorder="1" applyAlignment="1">
      <alignment horizontal="center" vertical="center" wrapText="1"/>
      <protection/>
    </xf>
    <xf numFmtId="49" fontId="32" fillId="0" borderId="0" xfId="140" applyNumberFormat="1" applyFont="1" applyBorder="1" applyAlignment="1">
      <alignment horizontal="center" wrapText="1"/>
      <protection/>
    </xf>
    <xf numFmtId="49" fontId="7" fillId="0" borderId="21" xfId="140" applyNumberFormat="1" applyFont="1" applyFill="1" applyBorder="1" applyAlignment="1">
      <alignment horizontal="center" vertical="center" wrapText="1"/>
      <protection/>
    </xf>
    <xf numFmtId="49" fontId="7" fillId="0" borderId="41" xfId="140" applyNumberFormat="1" applyFont="1" applyFill="1" applyBorder="1" applyAlignment="1">
      <alignment horizontal="center" vertical="center" wrapText="1"/>
      <protection/>
    </xf>
    <xf numFmtId="49" fontId="7" fillId="0" borderId="23" xfId="140" applyNumberFormat="1" applyFont="1" applyFill="1" applyBorder="1" applyAlignment="1">
      <alignment horizontal="center" vertical="center" wrapText="1"/>
      <protection/>
    </xf>
    <xf numFmtId="49" fontId="14" fillId="0" borderId="0" xfId="140" applyNumberFormat="1" applyFont="1" applyAlignment="1">
      <alignment horizontal="center"/>
      <protection/>
    </xf>
    <xf numFmtId="49" fontId="32" fillId="0" borderId="0" xfId="140" applyNumberFormat="1" applyFont="1" applyBorder="1" applyAlignment="1">
      <alignment horizontal="center"/>
      <protection/>
    </xf>
    <xf numFmtId="0" fontId="7" fillId="0" borderId="20" xfId="140" applyFont="1" applyBorder="1" applyAlignment="1">
      <alignment horizontal="center" vertical="center" wrapText="1"/>
      <protection/>
    </xf>
    <xf numFmtId="0" fontId="7" fillId="0" borderId="20" xfId="140" applyFont="1" applyFill="1" applyBorder="1" applyAlignment="1">
      <alignment horizontal="center" vertical="center" wrapText="1"/>
      <protection/>
    </xf>
    <xf numFmtId="0" fontId="13" fillId="0" borderId="20" xfId="140" applyFont="1" applyBorder="1" applyAlignment="1">
      <alignment horizontal="center" vertical="center" wrapText="1"/>
      <protection/>
    </xf>
    <xf numFmtId="3" fontId="0" fillId="47" borderId="0" xfId="140" applyNumberFormat="1" applyFont="1" applyFill="1" applyBorder="1" applyAlignment="1">
      <alignment horizontal="left"/>
      <protection/>
    </xf>
    <xf numFmtId="0" fontId="4" fillId="0" borderId="0" xfId="140" applyFont="1" applyBorder="1" applyAlignment="1">
      <alignment horizontal="left"/>
      <protection/>
    </xf>
    <xf numFmtId="0" fontId="0" fillId="0" borderId="0" xfId="140" applyFont="1" applyBorder="1" applyAlignment="1">
      <alignment horizontal="left"/>
      <protection/>
    </xf>
    <xf numFmtId="0" fontId="89" fillId="0" borderId="0" xfId="140" applyFont="1" applyAlignment="1">
      <alignment horizontal="center"/>
      <protection/>
    </xf>
    <xf numFmtId="0" fontId="4" fillId="0" borderId="0" xfId="140" applyNumberFormat="1" applyFont="1" applyAlignment="1">
      <alignment horizontal="left"/>
      <protection/>
    </xf>
    <xf numFmtId="0" fontId="0" fillId="0" borderId="0" xfId="140" applyFont="1" applyAlignment="1">
      <alignment horizontal="left"/>
      <protection/>
    </xf>
    <xf numFmtId="0" fontId="0" fillId="0" borderId="0" xfId="140" applyFont="1" applyBorder="1" applyAlignment="1">
      <alignment/>
      <protection/>
    </xf>
    <xf numFmtId="0" fontId="15" fillId="0" borderId="0" xfId="140" applyFont="1" applyAlignment="1">
      <alignment horizontal="center" wrapText="1"/>
      <protection/>
    </xf>
    <xf numFmtId="0" fontId="14" fillId="0" borderId="0" xfId="140" applyFont="1" applyBorder="1" applyAlignment="1">
      <alignment horizontal="center"/>
      <protection/>
    </xf>
    <xf numFmtId="0" fontId="15" fillId="0" borderId="0" xfId="140" applyFont="1" applyAlignment="1">
      <alignment horizontal="center"/>
      <protection/>
    </xf>
    <xf numFmtId="0" fontId="34" fillId="0" borderId="0" xfId="140" applyFont="1" applyAlignment="1">
      <alignment horizontal="center"/>
      <protection/>
    </xf>
    <xf numFmtId="0" fontId="69" fillId="3" borderId="26" xfId="140" applyFont="1" applyFill="1" applyBorder="1" applyAlignment="1">
      <alignment horizontal="center" vertical="center" wrapText="1"/>
      <protection/>
    </xf>
    <xf numFmtId="0" fontId="69" fillId="3" borderId="25" xfId="140" applyFont="1" applyFill="1" applyBorder="1" applyAlignment="1">
      <alignment horizontal="center" vertical="center" wrapText="1"/>
      <protection/>
    </xf>
    <xf numFmtId="0" fontId="7" fillId="0" borderId="25" xfId="140" applyFont="1" applyBorder="1" applyAlignment="1">
      <alignment horizontal="center" vertical="center" wrapText="1"/>
      <protection/>
    </xf>
    <xf numFmtId="0" fontId="7" fillId="0" borderId="20" xfId="140" applyFont="1" applyBorder="1" applyAlignment="1">
      <alignment horizontal="center" vertical="center"/>
      <protection/>
    </xf>
    <xf numFmtId="0" fontId="32" fillId="0" borderId="0" xfId="140" applyNumberFormat="1" applyFont="1" applyBorder="1" applyAlignment="1">
      <alignment horizontal="center"/>
      <protection/>
    </xf>
    <xf numFmtId="0" fontId="32" fillId="0" borderId="0" xfId="140" applyFont="1" applyBorder="1" applyAlignment="1">
      <alignment horizontal="center" wrapText="1"/>
      <protection/>
    </xf>
    <xf numFmtId="0" fontId="26" fillId="0" borderId="0" xfId="140" applyFont="1" applyBorder="1" applyAlignment="1">
      <alignment horizontal="center" wrapText="1"/>
      <protection/>
    </xf>
    <xf numFmtId="0" fontId="26" fillId="0" borderId="0" xfId="140" applyNumberFormat="1" applyFont="1" applyBorder="1" applyAlignment="1">
      <alignment horizontal="center"/>
      <protection/>
    </xf>
    <xf numFmtId="0" fontId="7" fillId="0" borderId="26" xfId="140" applyFont="1" applyBorder="1" applyAlignment="1">
      <alignment horizontal="center" vertical="center" wrapText="1"/>
      <protection/>
    </xf>
    <xf numFmtId="0" fontId="14" fillId="0" borderId="22" xfId="140" applyFont="1" applyBorder="1" applyAlignment="1">
      <alignment horizontal="left"/>
      <protection/>
    </xf>
    <xf numFmtId="0" fontId="7" fillId="0" borderId="26" xfId="140" applyFont="1" applyBorder="1" applyAlignment="1">
      <alignment horizontal="center" vertical="center"/>
      <protection/>
    </xf>
    <xf numFmtId="0" fontId="7" fillId="0" borderId="40" xfId="140" applyFont="1" applyBorder="1" applyAlignment="1">
      <alignment horizontal="center" vertical="center"/>
      <protection/>
    </xf>
    <xf numFmtId="0" fontId="7" fillId="0" borderId="25" xfId="140" applyFont="1" applyBorder="1" applyAlignment="1">
      <alignment horizontal="center" vertical="center"/>
      <protection/>
    </xf>
    <xf numFmtId="0" fontId="68" fillId="3" borderId="26" xfId="140" applyFont="1" applyFill="1" applyBorder="1" applyAlignment="1">
      <alignment horizontal="center" vertical="center" wrapText="1"/>
      <protection/>
    </xf>
    <xf numFmtId="0" fontId="68" fillId="3" borderId="25" xfId="140" applyFont="1" applyFill="1" applyBorder="1" applyAlignment="1">
      <alignment horizontal="center" vertical="center" wrapText="1"/>
      <protection/>
    </xf>
    <xf numFmtId="0" fontId="7" fillId="0" borderId="35" xfId="140" applyFont="1" applyBorder="1" applyAlignment="1">
      <alignment horizontal="center" vertical="center" wrapText="1"/>
      <protection/>
    </xf>
    <xf numFmtId="0" fontId="7" fillId="0" borderId="19" xfId="140" applyFont="1" applyBorder="1" applyAlignment="1">
      <alignment horizontal="center" vertical="center" wrapText="1"/>
      <protection/>
    </xf>
    <xf numFmtId="0" fontId="7" fillId="0" borderId="36" xfId="140" applyFont="1" applyBorder="1" applyAlignment="1">
      <alignment horizontal="center" vertical="center" wrapText="1"/>
      <protection/>
    </xf>
    <xf numFmtId="0" fontId="7" fillId="0" borderId="24" xfId="140" applyFont="1" applyBorder="1" applyAlignment="1">
      <alignment horizontal="center" vertical="center" wrapText="1"/>
      <protection/>
    </xf>
    <xf numFmtId="0" fontId="7" fillId="0" borderId="0" xfId="140" applyFont="1" applyBorder="1" applyAlignment="1">
      <alignment horizontal="center" vertical="center" wrapText="1"/>
      <protection/>
    </xf>
    <xf numFmtId="0" fontId="7" fillId="0" borderId="39" xfId="140" applyFont="1" applyBorder="1" applyAlignment="1">
      <alignment horizontal="center" vertical="center" wrapText="1"/>
      <protection/>
    </xf>
    <xf numFmtId="0" fontId="7" fillId="0" borderId="21" xfId="140" applyFont="1" applyBorder="1" applyAlignment="1">
      <alignment horizontal="center" vertical="center" wrapText="1"/>
      <protection/>
    </xf>
    <xf numFmtId="0" fontId="7" fillId="0" borderId="41" xfId="140" applyFont="1" applyBorder="1" applyAlignment="1">
      <alignment horizontal="center" vertical="center" wrapText="1"/>
      <protection/>
    </xf>
    <xf numFmtId="0" fontId="7" fillId="0" borderId="23" xfId="140" applyFont="1" applyBorder="1" applyAlignment="1">
      <alignment horizontal="center" vertical="center" wrapText="1"/>
      <protection/>
    </xf>
    <xf numFmtId="0" fontId="22" fillId="0" borderId="26" xfId="140" applyFont="1" applyBorder="1" applyAlignment="1">
      <alignment horizontal="center" vertical="center" wrapText="1"/>
      <protection/>
    </xf>
    <xf numFmtId="0" fontId="22" fillId="0" borderId="25" xfId="140" applyFont="1" applyBorder="1" applyAlignment="1">
      <alignment horizontal="center" vertical="center" wrapText="1"/>
      <protection/>
    </xf>
    <xf numFmtId="49" fontId="7" fillId="0" borderId="19" xfId="140" applyNumberFormat="1" applyFont="1" applyFill="1" applyBorder="1" applyAlignment="1">
      <alignment horizontal="center" vertical="center"/>
      <protection/>
    </xf>
    <xf numFmtId="49" fontId="7" fillId="0" borderId="0" xfId="140" applyNumberFormat="1" applyFont="1" applyFill="1" applyBorder="1" applyAlignment="1">
      <alignment horizontal="center" vertical="center"/>
      <protection/>
    </xf>
    <xf numFmtId="49" fontId="7" fillId="0" borderId="22" xfId="140" applyNumberFormat="1" applyFont="1" applyFill="1" applyBorder="1" applyAlignment="1">
      <alignment horizontal="center" vertical="center"/>
      <protection/>
    </xf>
    <xf numFmtId="49" fontId="80" fillId="0" borderId="0" xfId="140" applyNumberFormat="1" applyFont="1" applyAlignment="1">
      <alignment horizontal="center"/>
      <protection/>
    </xf>
    <xf numFmtId="49" fontId="7" fillId="0" borderId="20" xfId="140" applyNumberFormat="1" applyFont="1" applyFill="1" applyBorder="1" applyAlignment="1">
      <alignment horizontal="center" vertical="center"/>
      <protection/>
    </xf>
    <xf numFmtId="49" fontId="78" fillId="3" borderId="26" xfId="140" applyNumberFormat="1" applyFont="1" applyFill="1" applyBorder="1" applyAlignment="1">
      <alignment horizontal="center" vertical="center" wrapText="1"/>
      <protection/>
    </xf>
    <xf numFmtId="49" fontId="78" fillId="3" borderId="25" xfId="140" applyNumberFormat="1" applyFont="1" applyFill="1" applyBorder="1" applyAlignment="1">
      <alignment horizontal="center" vertical="center" wrapText="1"/>
      <protection/>
    </xf>
    <xf numFmtId="49" fontId="76" fillId="3" borderId="26" xfId="140" applyNumberFormat="1" applyFont="1" applyFill="1" applyBorder="1" applyAlignment="1">
      <alignment horizontal="center" vertical="center" wrapText="1"/>
      <protection/>
    </xf>
    <xf numFmtId="49" fontId="76" fillId="3" borderId="25" xfId="140" applyNumberFormat="1" applyFont="1" applyFill="1" applyBorder="1" applyAlignment="1">
      <alignment horizontal="center" vertical="center" wrapText="1"/>
      <protection/>
    </xf>
    <xf numFmtId="49" fontId="4" fillId="0" borderId="0" xfId="140" applyNumberFormat="1" applyFont="1" applyAlignment="1">
      <alignment horizontal="left"/>
      <protection/>
    </xf>
    <xf numFmtId="49" fontId="6" fillId="0" borderId="0" xfId="140" applyNumberFormat="1" applyFont="1" applyBorder="1" applyAlignment="1">
      <alignment horizontal="left" wrapText="1"/>
      <protection/>
    </xf>
    <xf numFmtId="49" fontId="6" fillId="0" borderId="0" xfId="140" applyNumberFormat="1" applyFont="1" applyBorder="1" applyAlignment="1">
      <alignment horizontal="left"/>
      <protection/>
    </xf>
    <xf numFmtId="49" fontId="15" fillId="0" borderId="0" xfId="140" applyNumberFormat="1" applyFont="1" applyAlignment="1">
      <alignment horizontal="center" wrapText="1"/>
      <protection/>
    </xf>
    <xf numFmtId="49" fontId="0" fillId="47" borderId="0" xfId="140" applyNumberFormat="1" applyFont="1" applyFill="1" applyBorder="1" applyAlignment="1">
      <alignment horizontal="left" vertical="top" wrapText="1"/>
      <protection/>
    </xf>
    <xf numFmtId="49" fontId="4" fillId="47" borderId="0" xfId="140" applyNumberFormat="1" applyFont="1" applyFill="1" applyBorder="1" applyAlignment="1">
      <alignment horizontal="left" vertical="top" wrapText="1"/>
      <protection/>
    </xf>
    <xf numFmtId="49" fontId="0" fillId="0" borderId="0" xfId="140" applyNumberFormat="1" applyFont="1" applyAlignment="1">
      <alignment horizontal="justify" vertical="top"/>
      <protection/>
    </xf>
    <xf numFmtId="49" fontId="0" fillId="0" borderId="0" xfId="140" applyNumberFormat="1" applyFont="1" applyBorder="1" applyAlignment="1">
      <alignment horizontal="justify" vertical="top" wrapText="1"/>
      <protection/>
    </xf>
    <xf numFmtId="49" fontId="0" fillId="0" borderId="0" xfId="140" applyNumberFormat="1" applyFont="1" applyBorder="1" applyAlignment="1">
      <alignment horizontal="justify" vertical="top"/>
      <protection/>
    </xf>
    <xf numFmtId="49" fontId="19" fillId="0" borderId="0" xfId="140" applyNumberFormat="1" applyFont="1" applyAlignment="1">
      <alignment horizontal="center" wrapText="1"/>
      <protection/>
    </xf>
    <xf numFmtId="49" fontId="20" fillId="0" borderId="22" xfId="140" applyNumberFormat="1" applyFont="1" applyBorder="1" applyAlignment="1">
      <alignment horizontal="center"/>
      <protection/>
    </xf>
    <xf numFmtId="49" fontId="75" fillId="0" borderId="20" xfId="140" applyNumberFormat="1" applyFont="1" applyBorder="1" applyAlignment="1">
      <alignment horizontal="center" vertical="center" wrapText="1"/>
      <protection/>
    </xf>
    <xf numFmtId="49" fontId="13" fillId="0" borderId="20" xfId="140" applyNumberFormat="1" applyFont="1" applyBorder="1" applyAlignment="1">
      <alignment horizontal="center" vertical="center" wrapText="1"/>
      <protection/>
    </xf>
    <xf numFmtId="49" fontId="8" fillId="0" borderId="0" xfId="140" applyNumberFormat="1" applyFont="1" applyAlignment="1">
      <alignment horizontal="left"/>
      <protection/>
    </xf>
    <xf numFmtId="49" fontId="14" fillId="0" borderId="0" xfId="140" applyNumberFormat="1" applyFont="1" applyBorder="1" applyAlignment="1">
      <alignment horizontal="left"/>
      <protection/>
    </xf>
    <xf numFmtId="49" fontId="8" fillId="0" borderId="26" xfId="140" applyNumberFormat="1" applyFont="1" applyBorder="1" applyAlignment="1">
      <alignment horizontal="center" vertical="center" wrapText="1"/>
      <protection/>
    </xf>
    <xf numFmtId="49" fontId="8" fillId="0" borderId="25" xfId="140" applyNumberFormat="1" applyFont="1" applyBorder="1" applyAlignment="1">
      <alignment horizontal="center" vertical="center" wrapText="1"/>
      <protection/>
    </xf>
    <xf numFmtId="49" fontId="5" fillId="0" borderId="0" xfId="140" applyNumberFormat="1" applyFont="1" applyAlignment="1">
      <alignment/>
      <protection/>
    </xf>
    <xf numFmtId="49" fontId="0" fillId="0" borderId="0" xfId="140" applyNumberFormat="1" applyFont="1" applyBorder="1" applyAlignment="1">
      <alignment horizontal="left"/>
      <protection/>
    </xf>
    <xf numFmtId="49" fontId="20" fillId="0" borderId="26" xfId="140" applyNumberFormat="1" applyFont="1" applyBorder="1" applyAlignment="1">
      <alignment horizontal="center" vertical="center" wrapText="1"/>
      <protection/>
    </xf>
    <xf numFmtId="49" fontId="20" fillId="0" borderId="25" xfId="140" applyNumberFormat="1" applyFont="1" applyBorder="1" applyAlignment="1">
      <alignment horizontal="center" vertical="center" wrapText="1"/>
      <protection/>
    </xf>
    <xf numFmtId="49" fontId="91" fillId="3" borderId="26" xfId="140" applyNumberFormat="1" applyFont="1" applyFill="1" applyBorder="1" applyAlignment="1">
      <alignment horizontal="center" vertical="center" wrapText="1"/>
      <protection/>
    </xf>
    <xf numFmtId="49" fontId="91" fillId="3" borderId="25" xfId="140" applyNumberFormat="1" applyFont="1" applyFill="1" applyBorder="1" applyAlignment="1">
      <alignment horizontal="center" vertical="center" wrapText="1"/>
      <protection/>
    </xf>
    <xf numFmtId="49" fontId="90" fillId="3" borderId="26" xfId="140" applyNumberFormat="1" applyFont="1" applyFill="1" applyBorder="1" applyAlignment="1">
      <alignment horizontal="center" vertical="center" wrapText="1"/>
      <protection/>
    </xf>
    <xf numFmtId="49" fontId="90" fillId="3" borderId="25" xfId="140" applyNumberFormat="1" applyFont="1" applyFill="1" applyBorder="1" applyAlignment="1">
      <alignment horizontal="center" vertical="center" wrapText="1"/>
      <protection/>
    </xf>
    <xf numFmtId="49" fontId="7" fillId="0" borderId="21" xfId="140" applyNumberFormat="1" applyFont="1" applyBorder="1" applyAlignment="1">
      <alignment horizontal="center" vertical="center" wrapText="1"/>
      <protection/>
    </xf>
    <xf numFmtId="49" fontId="7" fillId="0" borderId="23" xfId="140" applyNumberFormat="1" applyFont="1" applyBorder="1" applyAlignment="1">
      <alignment horizontal="center" vertical="center" wrapText="1"/>
      <protection/>
    </xf>
    <xf numFmtId="49" fontId="7" fillId="0" borderId="41" xfId="140" applyNumberFormat="1" applyFont="1" applyBorder="1" applyAlignment="1">
      <alignment horizontal="center" vertical="center" wrapText="1"/>
      <protection/>
    </xf>
    <xf numFmtId="49" fontId="7" fillId="0" borderId="40" xfId="140" applyNumberFormat="1" applyFont="1" applyBorder="1" applyAlignment="1">
      <alignment horizontal="center" vertical="center" wrapText="1"/>
      <protection/>
    </xf>
    <xf numFmtId="49" fontId="20" fillId="0" borderId="0" xfId="140" applyNumberFormat="1" applyFont="1" applyAlignment="1">
      <alignment horizontal="center"/>
      <protection/>
    </xf>
    <xf numFmtId="49" fontId="19" fillId="0" borderId="22" xfId="140" applyNumberFormat="1" applyFont="1" applyBorder="1" applyAlignment="1">
      <alignment horizontal="left"/>
      <protection/>
    </xf>
    <xf numFmtId="49" fontId="32" fillId="0" borderId="0" xfId="140" applyNumberFormat="1" applyFont="1" applyBorder="1" applyAlignment="1">
      <alignment horizontal="left" wrapText="1"/>
      <protection/>
    </xf>
    <xf numFmtId="49" fontId="7" fillId="0" borderId="40" xfId="140" applyNumberFormat="1" applyFont="1" applyFill="1" applyBorder="1" applyAlignment="1">
      <alignment horizontal="center" vertical="center" wrapText="1"/>
      <protection/>
    </xf>
    <xf numFmtId="49" fontId="7" fillId="0" borderId="27" xfId="140" applyNumberFormat="1" applyFont="1" applyFill="1" applyBorder="1" applyAlignment="1">
      <alignment horizontal="center" vertical="center" wrapText="1"/>
      <protection/>
    </xf>
    <xf numFmtId="49" fontId="7" fillId="0" borderId="37" xfId="140" applyNumberFormat="1" applyFont="1" applyFill="1" applyBorder="1" applyAlignment="1">
      <alignment horizontal="center" vertical="center" wrapText="1"/>
      <protection/>
    </xf>
    <xf numFmtId="49" fontId="0" fillId="0" borderId="0" xfId="140" applyNumberFormat="1" applyFont="1" applyFill="1" applyAlignment="1">
      <alignment horizontal="left"/>
      <protection/>
    </xf>
    <xf numFmtId="0" fontId="83" fillId="0" borderId="40" xfId="140" applyFont="1" applyFill="1" applyBorder="1" applyAlignment="1">
      <alignment horizontal="center" vertical="center" wrapText="1"/>
      <protection/>
    </xf>
    <xf numFmtId="0" fontId="83" fillId="0" borderId="25" xfId="140" applyFont="1" applyFill="1" applyBorder="1" applyAlignment="1">
      <alignment horizontal="center" vertical="center" wrapText="1"/>
      <protection/>
    </xf>
    <xf numFmtId="49" fontId="19" fillId="0" borderId="0" xfId="140" applyNumberFormat="1" applyFont="1" applyFill="1" applyBorder="1" applyAlignment="1">
      <alignment horizontal="left"/>
      <protection/>
    </xf>
    <xf numFmtId="49" fontId="7" fillId="47" borderId="26" xfId="140" applyNumberFormat="1" applyFont="1" applyFill="1" applyBorder="1" applyAlignment="1">
      <alignment horizontal="center" vertical="center"/>
      <protection/>
    </xf>
    <xf numFmtId="49" fontId="7" fillId="47" borderId="25" xfId="140" applyNumberFormat="1" applyFont="1" applyFill="1" applyBorder="1" applyAlignment="1">
      <alignment horizontal="center" vertical="center"/>
      <protection/>
    </xf>
    <xf numFmtId="49" fontId="90" fillId="3" borderId="26" xfId="140" applyNumberFormat="1" applyFont="1" applyFill="1" applyBorder="1" applyAlignment="1">
      <alignment horizontal="center" vertical="center"/>
      <protection/>
    </xf>
    <xf numFmtId="49" fontId="90" fillId="3" borderId="25" xfId="140" applyNumberFormat="1" applyFont="1" applyFill="1" applyBorder="1" applyAlignment="1">
      <alignment horizontal="center" vertical="center"/>
      <protection/>
    </xf>
    <xf numFmtId="49" fontId="7" fillId="0" borderId="35" xfId="140" applyNumberFormat="1" applyFont="1" applyFill="1" applyBorder="1" applyAlignment="1">
      <alignment horizontal="center" vertical="center" wrapText="1"/>
      <protection/>
    </xf>
    <xf numFmtId="49" fontId="7" fillId="0" borderId="36" xfId="140" applyNumberFormat="1" applyFont="1" applyFill="1" applyBorder="1" applyAlignment="1">
      <alignment horizontal="center" vertical="center" wrapText="1"/>
      <protection/>
    </xf>
    <xf numFmtId="49" fontId="7" fillId="0" borderId="24" xfId="140" applyNumberFormat="1" applyFont="1" applyFill="1" applyBorder="1" applyAlignment="1">
      <alignment horizontal="center" vertical="center" wrapText="1"/>
      <protection/>
    </xf>
    <xf numFmtId="49" fontId="7" fillId="0" borderId="39" xfId="140" applyNumberFormat="1" applyFont="1" applyFill="1" applyBorder="1" applyAlignment="1">
      <alignment horizontal="center" vertical="center" wrapText="1"/>
      <protection/>
    </xf>
    <xf numFmtId="49" fontId="20" fillId="0" borderId="26" xfId="140" applyNumberFormat="1" applyFont="1" applyFill="1" applyBorder="1" applyAlignment="1">
      <alignment horizontal="center" vertical="center"/>
      <protection/>
    </xf>
    <xf numFmtId="49" fontId="20" fillId="0" borderId="25" xfId="140" applyNumberFormat="1" applyFont="1" applyFill="1" applyBorder="1" applyAlignment="1">
      <alignment horizontal="center" vertical="center"/>
      <protection/>
    </xf>
    <xf numFmtId="49" fontId="14" fillId="0" borderId="22" xfId="140" applyNumberFormat="1" applyFont="1" applyFill="1" applyBorder="1" applyAlignment="1">
      <alignment horizontal="center" vertical="center"/>
      <protection/>
    </xf>
    <xf numFmtId="49" fontId="91" fillId="3" borderId="26" xfId="140" applyNumberFormat="1" applyFont="1" applyFill="1" applyBorder="1" applyAlignment="1">
      <alignment horizontal="center" vertical="center"/>
      <protection/>
    </xf>
    <xf numFmtId="49" fontId="91" fillId="3" borderId="25" xfId="140" applyNumberFormat="1" applyFont="1" applyFill="1" applyBorder="1" applyAlignment="1">
      <alignment horizontal="center" vertical="center"/>
      <protection/>
    </xf>
    <xf numFmtId="49" fontId="29" fillId="0" borderId="0" xfId="140" applyNumberFormat="1" applyFont="1" applyAlignment="1">
      <alignment horizontal="center"/>
      <protection/>
    </xf>
    <xf numFmtId="0" fontId="15" fillId="0" borderId="0" xfId="140" applyNumberFormat="1" applyFont="1" applyAlignment="1">
      <alignment horizontal="center"/>
      <protection/>
    </xf>
    <xf numFmtId="0" fontId="34" fillId="0" borderId="0" xfId="140" applyNumberFormat="1" applyFont="1" applyAlignment="1">
      <alignment horizontal="center"/>
      <protection/>
    </xf>
    <xf numFmtId="0" fontId="24" fillId="0" borderId="0" xfId="140" applyNumberFormat="1" applyFont="1" applyAlignment="1">
      <alignment horizontal="center"/>
      <protection/>
    </xf>
    <xf numFmtId="0" fontId="8" fillId="0" borderId="20" xfId="140" applyFont="1" applyFill="1" applyBorder="1" applyAlignment="1">
      <alignment horizontal="center" vertical="center" wrapText="1"/>
      <protection/>
    </xf>
    <xf numFmtId="0" fontId="19" fillId="0" borderId="0" xfId="140" applyFont="1" applyBorder="1" applyAlignment="1">
      <alignment horizontal="left"/>
      <protection/>
    </xf>
    <xf numFmtId="0" fontId="14" fillId="0" borderId="0" xfId="140" applyFont="1" applyAlignment="1">
      <alignment horizontal="center"/>
      <protection/>
    </xf>
    <xf numFmtId="49" fontId="32" fillId="0" borderId="0" xfId="140" applyNumberFormat="1" applyFont="1" applyBorder="1" applyAlignment="1">
      <alignment horizontal="justify" vertical="justify" wrapText="1"/>
      <protection/>
    </xf>
    <xf numFmtId="0" fontId="29" fillId="47" borderId="0" xfId="140" applyFont="1" applyFill="1" applyBorder="1" applyAlignment="1">
      <alignment horizontal="center"/>
      <protection/>
    </xf>
    <xf numFmtId="49" fontId="8" fillId="0" borderId="35" xfId="140" applyNumberFormat="1" applyFont="1" applyFill="1" applyBorder="1" applyAlignment="1">
      <alignment horizontal="center" vertical="center"/>
      <protection/>
    </xf>
    <xf numFmtId="49" fontId="8" fillId="0" borderId="36" xfId="140" applyNumberFormat="1" applyFont="1" applyFill="1" applyBorder="1" applyAlignment="1">
      <alignment horizontal="center" vertical="center"/>
      <protection/>
    </xf>
    <xf numFmtId="49" fontId="8" fillId="0" borderId="24" xfId="140" applyNumberFormat="1" applyFont="1" applyFill="1" applyBorder="1" applyAlignment="1">
      <alignment horizontal="center" vertical="center"/>
      <protection/>
    </xf>
    <xf numFmtId="49" fontId="8" fillId="0" borderId="39" xfId="140" applyNumberFormat="1" applyFont="1" applyFill="1" applyBorder="1" applyAlignment="1">
      <alignment horizontal="center" vertical="center"/>
      <protection/>
    </xf>
    <xf numFmtId="49" fontId="8" fillId="0" borderId="27" xfId="140" applyNumberFormat="1" applyFont="1" applyFill="1" applyBorder="1" applyAlignment="1">
      <alignment horizontal="center" vertical="center"/>
      <protection/>
    </xf>
    <xf numFmtId="49" fontId="8" fillId="0" borderId="37" xfId="140" applyNumberFormat="1" applyFont="1" applyFill="1" applyBorder="1" applyAlignment="1">
      <alignment horizontal="center" vertical="center"/>
      <protection/>
    </xf>
    <xf numFmtId="0" fontId="26" fillId="0" borderId="0" xfId="140" applyFont="1" applyAlignment="1">
      <alignment horizontal="center"/>
      <protection/>
    </xf>
    <xf numFmtId="49" fontId="26" fillId="47" borderId="42" xfId="0" applyNumberFormat="1" applyFont="1" applyFill="1" applyBorder="1" applyAlignment="1">
      <alignment horizontal="center" vertical="center"/>
    </xf>
    <xf numFmtId="49" fontId="26" fillId="47" borderId="43" xfId="0" applyNumberFormat="1" applyFont="1" applyFill="1" applyBorder="1" applyAlignment="1">
      <alignment horizontal="center" vertical="center"/>
    </xf>
    <xf numFmtId="49" fontId="101" fillId="47" borderId="26" xfId="0" applyNumberFormat="1" applyFont="1" applyFill="1" applyBorder="1" applyAlignment="1">
      <alignment horizontal="left"/>
    </xf>
    <xf numFmtId="49" fontId="101" fillId="47" borderId="40" xfId="0" applyNumberFormat="1" applyFont="1" applyFill="1" applyBorder="1" applyAlignment="1">
      <alignment horizontal="left"/>
    </xf>
    <xf numFmtId="49" fontId="101" fillId="47" borderId="25" xfId="0" applyNumberFormat="1" applyFont="1" applyFill="1" applyBorder="1" applyAlignment="1">
      <alignment horizontal="left"/>
    </xf>
    <xf numFmtId="0" fontId="32" fillId="47" borderId="0" xfId="0" applyNumberFormat="1" applyFont="1" applyFill="1" applyBorder="1" applyAlignment="1">
      <alignment horizontal="left" wrapText="1"/>
    </xf>
    <xf numFmtId="0" fontId="26" fillId="0" borderId="0" xfId="0" applyNumberFormat="1" applyFont="1" applyFill="1" applyAlignment="1">
      <alignment horizontal="center"/>
    </xf>
    <xf numFmtId="49" fontId="5" fillId="47" borderId="20" xfId="0" applyNumberFormat="1" applyFont="1" applyFill="1" applyBorder="1" applyAlignment="1" applyProtection="1">
      <alignment horizontal="center" vertical="center" wrapText="1"/>
      <protection/>
    </xf>
    <xf numFmtId="49" fontId="14" fillId="47" borderId="44" xfId="0" applyNumberFormat="1" applyFont="1" applyFill="1" applyBorder="1" applyAlignment="1" applyProtection="1">
      <alignment horizontal="center" vertical="center" wrapText="1"/>
      <protection/>
    </xf>
    <xf numFmtId="49" fontId="14" fillId="47" borderId="25" xfId="0" applyNumberFormat="1" applyFont="1" applyFill="1" applyBorder="1" applyAlignment="1" applyProtection="1">
      <alignment horizontal="center" vertical="center" wrapText="1"/>
      <protection/>
    </xf>
    <xf numFmtId="0" fontId="26" fillId="47" borderId="0" xfId="0" applyNumberFormat="1" applyFont="1" applyFill="1" applyBorder="1" applyAlignment="1">
      <alignment horizontal="center" wrapText="1"/>
    </xf>
    <xf numFmtId="49" fontId="5" fillId="47" borderId="44" xfId="0" applyNumberFormat="1" applyFont="1" applyFill="1" applyBorder="1" applyAlignment="1" applyProtection="1">
      <alignment horizontal="center" vertical="center" wrapText="1"/>
      <protection/>
    </xf>
    <xf numFmtId="49" fontId="5" fillId="47" borderId="25" xfId="0" applyNumberFormat="1" applyFont="1" applyFill="1" applyBorder="1" applyAlignment="1" applyProtection="1">
      <alignment horizontal="center" vertical="center" wrapText="1"/>
      <protection/>
    </xf>
    <xf numFmtId="49" fontId="5" fillId="47" borderId="0" xfId="0" applyNumberFormat="1" applyFont="1" applyFill="1" applyBorder="1" applyAlignment="1">
      <alignment horizontal="left" wrapText="1"/>
    </xf>
    <xf numFmtId="0" fontId="5" fillId="47" borderId="35" xfId="0" applyNumberFormat="1" applyFont="1" applyFill="1" applyBorder="1" applyAlignment="1">
      <alignment horizontal="center" vertical="center" wrapText="1"/>
    </xf>
    <xf numFmtId="0" fontId="5" fillId="47" borderId="36" xfId="0" applyNumberFormat="1" applyFont="1" applyFill="1" applyBorder="1" applyAlignment="1">
      <alignment horizontal="center" vertical="center" wrapText="1"/>
    </xf>
    <xf numFmtId="0" fontId="5" fillId="47" borderId="24" xfId="0" applyNumberFormat="1" applyFont="1" applyFill="1" applyBorder="1" applyAlignment="1">
      <alignment horizontal="center" vertical="center" wrapText="1"/>
    </xf>
    <xf numFmtId="0" fontId="5" fillId="47" borderId="39" xfId="0" applyNumberFormat="1" applyFont="1" applyFill="1" applyBorder="1" applyAlignment="1">
      <alignment horizontal="center" vertical="center" wrapText="1"/>
    </xf>
    <xf numFmtId="0" fontId="5" fillId="47" borderId="27" xfId="0" applyNumberFormat="1" applyFont="1" applyFill="1" applyBorder="1" applyAlignment="1">
      <alignment horizontal="center" vertical="center" wrapText="1"/>
    </xf>
    <xf numFmtId="0" fontId="5" fillId="47" borderId="37" xfId="0" applyNumberFormat="1" applyFont="1" applyFill="1" applyBorder="1" applyAlignment="1">
      <alignment horizontal="center" vertical="center" wrapText="1"/>
    </xf>
    <xf numFmtId="49" fontId="33" fillId="47" borderId="20" xfId="0" applyNumberFormat="1" applyFont="1" applyFill="1" applyBorder="1" applyAlignment="1">
      <alignment horizontal="center" vertical="center" wrapText="1"/>
    </xf>
    <xf numFmtId="49" fontId="33" fillId="47" borderId="20" xfId="0" applyNumberFormat="1" applyFont="1" applyFill="1" applyBorder="1" applyAlignment="1" applyProtection="1">
      <alignment horizontal="center" vertical="center" wrapText="1"/>
      <protection/>
    </xf>
    <xf numFmtId="49" fontId="16" fillId="47" borderId="0" xfId="0" applyNumberFormat="1" applyFont="1" applyFill="1" applyAlignment="1">
      <alignment horizontal="center"/>
    </xf>
    <xf numFmtId="49" fontId="16" fillId="47" borderId="0" xfId="0" applyNumberFormat="1" applyFont="1" applyFill="1" applyAlignment="1">
      <alignment horizontal="center" wrapText="1"/>
    </xf>
    <xf numFmtId="0" fontId="24" fillId="47" borderId="0" xfId="0" applyNumberFormat="1" applyFont="1" applyFill="1" applyAlignment="1">
      <alignment horizontal="center"/>
    </xf>
    <xf numFmtId="49" fontId="5" fillId="47" borderId="20" xfId="0" applyNumberFormat="1" applyFont="1" applyFill="1" applyBorder="1" applyAlignment="1">
      <alignment horizontal="center" vertical="center" wrapText="1"/>
    </xf>
    <xf numFmtId="1" fontId="5" fillId="47" borderId="20" xfId="0" applyNumberFormat="1" applyFont="1" applyFill="1" applyBorder="1" applyAlignment="1">
      <alignment horizontal="center" vertical="center"/>
    </xf>
    <xf numFmtId="49" fontId="5" fillId="47" borderId="0" xfId="0" applyNumberFormat="1" applyFont="1" applyFill="1" applyAlignment="1">
      <alignment horizontal="left"/>
    </xf>
    <xf numFmtId="0" fontId="5" fillId="47" borderId="0" xfId="0" applyNumberFormat="1" applyFont="1" applyFill="1" applyBorder="1" applyAlignment="1">
      <alignment horizontal="left" wrapText="1"/>
    </xf>
    <xf numFmtId="0" fontId="26" fillId="47" borderId="0" xfId="0" applyNumberFormat="1" applyFont="1" applyFill="1" applyBorder="1" applyAlignment="1">
      <alignment horizontal="center" vertical="center"/>
    </xf>
    <xf numFmtId="0" fontId="26" fillId="47" borderId="0" xfId="0" applyNumberFormat="1" applyFont="1" applyFill="1" applyAlignment="1">
      <alignment horizontal="center"/>
    </xf>
    <xf numFmtId="210" fontId="26" fillId="0" borderId="0" xfId="0" applyNumberFormat="1" applyFont="1" applyFill="1" applyAlignment="1">
      <alignment horizontal="center"/>
    </xf>
    <xf numFmtId="0" fontId="26" fillId="47" borderId="0" xfId="0" applyNumberFormat="1" applyFont="1" applyFill="1" applyAlignment="1">
      <alignment horizontal="center" wrapText="1"/>
    </xf>
    <xf numFmtId="210" fontId="16" fillId="47" borderId="0" xfId="0" applyNumberFormat="1" applyFont="1" applyFill="1" applyAlignment="1">
      <alignment horizontal="center"/>
    </xf>
    <xf numFmtId="210" fontId="16" fillId="47" borderId="0" xfId="0" applyNumberFormat="1" applyFont="1" applyFill="1" applyAlignment="1">
      <alignment horizontal="center" wrapText="1"/>
    </xf>
    <xf numFmtId="210" fontId="24" fillId="47" borderId="0" xfId="0" applyNumberFormat="1" applyFont="1" applyFill="1" applyAlignment="1">
      <alignment horizontal="center"/>
    </xf>
    <xf numFmtId="210" fontId="5" fillId="47" borderId="45" xfId="0" applyNumberFormat="1" applyFont="1" applyFill="1" applyBorder="1" applyAlignment="1">
      <alignment horizontal="center" vertical="center" wrapText="1"/>
    </xf>
    <xf numFmtId="210" fontId="5" fillId="47" borderId="20" xfId="0" applyNumberFormat="1" applyFont="1" applyFill="1" applyBorder="1" applyAlignment="1">
      <alignment horizontal="center" vertical="center" wrapText="1"/>
    </xf>
    <xf numFmtId="210" fontId="5" fillId="47" borderId="45" xfId="0" applyNumberFormat="1" applyFont="1" applyFill="1" applyBorder="1" applyAlignment="1">
      <alignment horizontal="center" vertical="center"/>
    </xf>
    <xf numFmtId="49" fontId="19" fillId="47" borderId="46" xfId="0" applyNumberFormat="1" applyFont="1" applyFill="1" applyBorder="1" applyAlignment="1">
      <alignment horizontal="left"/>
    </xf>
    <xf numFmtId="210" fontId="5" fillId="47" borderId="20" xfId="0" applyNumberFormat="1" applyFont="1" applyFill="1" applyBorder="1" applyAlignment="1" applyProtection="1">
      <alignment horizontal="center" vertical="center" wrapText="1"/>
      <protection/>
    </xf>
    <xf numFmtId="49" fontId="0" fillId="47" borderId="0" xfId="0" applyNumberFormat="1" applyFont="1" applyFill="1" applyAlignment="1">
      <alignment horizontal="left"/>
    </xf>
    <xf numFmtId="0" fontId="0" fillId="47" borderId="0" xfId="0" applyNumberFormat="1" applyFill="1" applyBorder="1" applyAlignment="1">
      <alignment horizontal="left" wrapText="1"/>
    </xf>
    <xf numFmtId="0" fontId="0" fillId="47" borderId="0" xfId="0" applyNumberFormat="1" applyFont="1" applyFill="1" applyBorder="1" applyAlignment="1">
      <alignment horizontal="left" wrapText="1"/>
    </xf>
    <xf numFmtId="49" fontId="0" fillId="47" borderId="0" xfId="0" applyNumberFormat="1" applyFont="1" applyFill="1" applyBorder="1" applyAlignment="1">
      <alignment horizontal="left" wrapText="1"/>
    </xf>
    <xf numFmtId="210" fontId="33" fillId="47" borderId="20" xfId="0" applyNumberFormat="1" applyFont="1" applyFill="1" applyBorder="1" applyAlignment="1">
      <alignment horizontal="center" vertical="center" wrapText="1"/>
    </xf>
    <xf numFmtId="49" fontId="5" fillId="47" borderId="47" xfId="0" applyNumberFormat="1" applyFont="1" applyFill="1" applyBorder="1" applyAlignment="1" applyProtection="1">
      <alignment horizontal="center" vertical="center" wrapText="1"/>
      <protection/>
    </xf>
    <xf numFmtId="49" fontId="5" fillId="47" borderId="38" xfId="0" applyNumberFormat="1" applyFont="1" applyFill="1" applyBorder="1" applyAlignment="1" applyProtection="1">
      <alignment horizontal="center" vertical="center" wrapText="1"/>
      <protection/>
    </xf>
    <xf numFmtId="0" fontId="29" fillId="47" borderId="0" xfId="0" applyNumberFormat="1" applyFont="1" applyFill="1" applyBorder="1" applyAlignment="1">
      <alignment horizontal="center" vertical="center"/>
    </xf>
    <xf numFmtId="210" fontId="33" fillId="47" borderId="45" xfId="0" applyNumberFormat="1" applyFont="1" applyFill="1" applyBorder="1" applyAlignment="1" applyProtection="1">
      <alignment horizontal="center" vertical="center" wrapText="1"/>
      <protection/>
    </xf>
    <xf numFmtId="210" fontId="33" fillId="47" borderId="20" xfId="0" applyNumberFormat="1" applyFont="1" applyFill="1" applyBorder="1" applyAlignment="1" applyProtection="1">
      <alignment horizontal="center" vertical="center" wrapText="1"/>
      <protection/>
    </xf>
    <xf numFmtId="49" fontId="25" fillId="47" borderId="48" xfId="0" applyNumberFormat="1" applyFont="1" applyFill="1" applyBorder="1" applyAlignment="1" applyProtection="1">
      <alignment horizontal="center" vertical="center" wrapText="1"/>
      <protection/>
    </xf>
    <xf numFmtId="49" fontId="25" fillId="47" borderId="20" xfId="0" applyNumberFormat="1" applyFont="1" applyFill="1" applyBorder="1" applyAlignment="1" applyProtection="1">
      <alignment horizontal="center" vertical="center" wrapText="1"/>
      <protection/>
    </xf>
    <xf numFmtId="0" fontId="5" fillId="47" borderId="49" xfId="0" applyNumberFormat="1" applyFont="1" applyFill="1" applyBorder="1" applyAlignment="1">
      <alignment horizontal="center" vertical="center" wrapText="1"/>
    </xf>
    <xf numFmtId="0" fontId="5" fillId="47" borderId="45" xfId="0" applyNumberFormat="1" applyFont="1" applyFill="1" applyBorder="1" applyAlignment="1">
      <alignment horizontal="center" vertical="center" wrapText="1"/>
    </xf>
    <xf numFmtId="0" fontId="5" fillId="47" borderId="48" xfId="0" applyNumberFormat="1" applyFont="1" applyFill="1" applyBorder="1" applyAlignment="1">
      <alignment horizontal="center" vertical="center" wrapText="1"/>
    </xf>
    <xf numFmtId="0" fontId="5" fillId="47" borderId="20" xfId="0" applyNumberFormat="1" applyFont="1" applyFill="1" applyBorder="1" applyAlignment="1">
      <alignment horizontal="center" vertical="center" wrapText="1"/>
    </xf>
    <xf numFmtId="210" fontId="5" fillId="47" borderId="45" xfId="0" applyNumberFormat="1" applyFont="1" applyFill="1" applyBorder="1" applyAlignment="1" applyProtection="1">
      <alignment horizontal="center" vertical="center" wrapText="1"/>
      <protection/>
    </xf>
    <xf numFmtId="49" fontId="20" fillId="47" borderId="48" xfId="0" applyNumberFormat="1" applyFont="1" applyFill="1" applyBorder="1" applyAlignment="1" applyProtection="1">
      <alignment horizontal="center" vertical="center" wrapText="1"/>
      <protection/>
    </xf>
    <xf numFmtId="49" fontId="20" fillId="47" borderId="20" xfId="0" applyNumberFormat="1" applyFont="1" applyFill="1" applyBorder="1" applyAlignment="1" applyProtection="1">
      <alignment horizontal="center" vertical="center" wrapText="1"/>
      <protection/>
    </xf>
    <xf numFmtId="49" fontId="29" fillId="0" borderId="0" xfId="0" applyNumberFormat="1" applyFont="1" applyFill="1" applyAlignment="1">
      <alignment horizontal="left"/>
    </xf>
    <xf numFmtId="49" fontId="29" fillId="0" borderId="0" xfId="0" applyNumberFormat="1" applyFont="1" applyFill="1" applyBorder="1" applyAlignment="1">
      <alignment horizontal="left"/>
    </xf>
  </cellXfs>
  <cellStyles count="147">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_Sheet1" xfId="99"/>
    <cellStyle name="Currency" xfId="100"/>
    <cellStyle name="Currency [0]" xfId="101"/>
    <cellStyle name="Explanatory Text" xfId="102"/>
    <cellStyle name="Explanatory Text 2" xfId="103"/>
    <cellStyle name="Explanatory Text 3" xfId="104"/>
    <cellStyle name="Followed Hyperlink" xfId="105"/>
    <cellStyle name="Good" xfId="106"/>
    <cellStyle name="Good 2" xfId="107"/>
    <cellStyle name="Good 3" xfId="108"/>
    <cellStyle name="Heading 1" xfId="109"/>
    <cellStyle name="Heading 1 2" xfId="110"/>
    <cellStyle name="Heading 1 3" xfId="111"/>
    <cellStyle name="Heading 2" xfId="112"/>
    <cellStyle name="Heading 2 2" xfId="113"/>
    <cellStyle name="Heading 2 3" xfId="114"/>
    <cellStyle name="Heading 3" xfId="115"/>
    <cellStyle name="Heading 3 2" xfId="116"/>
    <cellStyle name="Heading 3 3" xfId="117"/>
    <cellStyle name="Heading 4" xfId="118"/>
    <cellStyle name="Heading 4 2" xfId="119"/>
    <cellStyle name="Heading 4 3" xfId="120"/>
    <cellStyle name="Hyperlink" xfId="121"/>
    <cellStyle name="Input" xfId="122"/>
    <cellStyle name="Input 2" xfId="123"/>
    <cellStyle name="Input 3" xfId="124"/>
    <cellStyle name="Linked Cell" xfId="125"/>
    <cellStyle name="Linked Cell 2" xfId="126"/>
    <cellStyle name="Linked Cell 3" xfId="127"/>
    <cellStyle name="Neutral" xfId="128"/>
    <cellStyle name="Neutral 2" xfId="129"/>
    <cellStyle name="Neutral 3" xfId="130"/>
    <cellStyle name="Normal 2" xfId="131"/>
    <cellStyle name="Normal 2 2" xfId="132"/>
    <cellStyle name="Normal 2_01" xfId="133"/>
    <cellStyle name="Normal 3" xfId="134"/>
    <cellStyle name="Normal 4" xfId="135"/>
    <cellStyle name="Normal 5" xfId="136"/>
    <cellStyle name="Normal_1. (Goc) THONG KE TT01 Toàn tỉnh Hoa Binh 6 tháng 2013" xfId="137"/>
    <cellStyle name="Normal_19 bieu m nhapcong thuc da sao 11 don vi " xfId="138"/>
    <cellStyle name="Normal_Bieu 8 - Bieu 19 toan tinh" xfId="139"/>
    <cellStyle name="Normal_Bieu mau TK tu 11 den 19 (ban phat hanh)" xfId="140"/>
    <cellStyle name="Normal_Sheet1" xfId="141"/>
    <cellStyle name="Note" xfId="142"/>
    <cellStyle name="Note 2" xfId="143"/>
    <cellStyle name="Note 3" xfId="144"/>
    <cellStyle name="Output" xfId="145"/>
    <cellStyle name="Output 2" xfId="146"/>
    <cellStyle name="Output 3" xfId="147"/>
    <cellStyle name="Percent" xfId="148"/>
    <cellStyle name="Percent 2" xfId="149"/>
    <cellStyle name="Percent 2 2" xfId="150"/>
    <cellStyle name="Percent 3" xfId="151"/>
    <cellStyle name="Title" xfId="152"/>
    <cellStyle name="Title 2" xfId="153"/>
    <cellStyle name="Title 3" xfId="154"/>
    <cellStyle name="Total" xfId="155"/>
    <cellStyle name="Total 2" xfId="156"/>
    <cellStyle name="Total 3" xfId="157"/>
    <cellStyle name="Warning Text" xfId="158"/>
    <cellStyle name="Warning Text 2" xfId="159"/>
    <cellStyle name="Warning Text 3" xfId="1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8669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8669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64782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64782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3.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drawing" Target="../drawings/drawing4.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645" t="s">
        <v>26</v>
      </c>
      <c r="B1" s="645"/>
      <c r="C1" s="644" t="s">
        <v>72</v>
      </c>
      <c r="D1" s="644"/>
      <c r="E1" s="644"/>
      <c r="F1" s="646" t="s">
        <v>68</v>
      </c>
      <c r="G1" s="646"/>
      <c r="H1" s="646"/>
    </row>
    <row r="2" spans="1:8" ht="33.75" customHeight="1">
      <c r="A2" s="647" t="s">
        <v>75</v>
      </c>
      <c r="B2" s="647"/>
      <c r="C2" s="644"/>
      <c r="D2" s="644"/>
      <c r="E2" s="644"/>
      <c r="F2" s="643" t="s">
        <v>69</v>
      </c>
      <c r="G2" s="643"/>
      <c r="H2" s="643"/>
    </row>
    <row r="3" spans="1:8" ht="19.5" customHeight="1">
      <c r="A3" s="6" t="s">
        <v>63</v>
      </c>
      <c r="B3" s="6"/>
      <c r="C3" s="24"/>
      <c r="D3" s="24"/>
      <c r="E3" s="24"/>
      <c r="F3" s="643" t="s">
        <v>70</v>
      </c>
      <c r="G3" s="643"/>
      <c r="H3" s="643"/>
    </row>
    <row r="4" spans="1:8" s="7" customFormat="1" ht="19.5" customHeight="1">
      <c r="A4" s="6"/>
      <c r="B4" s="6"/>
      <c r="D4" s="8"/>
      <c r="F4" s="9" t="s">
        <v>71</v>
      </c>
      <c r="G4" s="9"/>
      <c r="H4" s="9"/>
    </row>
    <row r="5" spans="1:8" s="23" customFormat="1" ht="36" customHeight="1">
      <c r="A5" s="625" t="s">
        <v>55</v>
      </c>
      <c r="B5" s="626"/>
      <c r="C5" s="629" t="s">
        <v>66</v>
      </c>
      <c r="D5" s="630"/>
      <c r="E5" s="631" t="s">
        <v>65</v>
      </c>
      <c r="F5" s="631"/>
      <c r="G5" s="631"/>
      <c r="H5" s="632"/>
    </row>
    <row r="6" spans="1:8" s="23" customFormat="1" ht="20.25" customHeight="1">
      <c r="A6" s="627"/>
      <c r="B6" s="628"/>
      <c r="C6" s="633" t="s">
        <v>3</v>
      </c>
      <c r="D6" s="633" t="s">
        <v>73</v>
      </c>
      <c r="E6" s="635" t="s">
        <v>67</v>
      </c>
      <c r="F6" s="632"/>
      <c r="G6" s="635" t="s">
        <v>74</v>
      </c>
      <c r="H6" s="632"/>
    </row>
    <row r="7" spans="1:8" s="23" customFormat="1" ht="52.5" customHeight="1">
      <c r="A7" s="627"/>
      <c r="B7" s="628"/>
      <c r="C7" s="634"/>
      <c r="D7" s="634"/>
      <c r="E7" s="5" t="s">
        <v>3</v>
      </c>
      <c r="F7" s="5" t="s">
        <v>9</v>
      </c>
      <c r="G7" s="5" t="s">
        <v>3</v>
      </c>
      <c r="H7" s="5" t="s">
        <v>9</v>
      </c>
    </row>
    <row r="8" spans="1:8" ht="15" customHeight="1">
      <c r="A8" s="637" t="s">
        <v>6</v>
      </c>
      <c r="B8" s="638"/>
      <c r="C8" s="10">
        <v>1</v>
      </c>
      <c r="D8" s="10" t="s">
        <v>44</v>
      </c>
      <c r="E8" s="10" t="s">
        <v>47</v>
      </c>
      <c r="F8" s="10" t="s">
        <v>56</v>
      </c>
      <c r="G8" s="10" t="s">
        <v>57</v>
      </c>
      <c r="H8" s="10" t="s">
        <v>58</v>
      </c>
    </row>
    <row r="9" spans="1:8" ht="26.25" customHeight="1">
      <c r="A9" s="639" t="s">
        <v>33</v>
      </c>
      <c r="B9" s="640"/>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47</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641" t="s">
        <v>54</v>
      </c>
      <c r="C16" s="641"/>
      <c r="D16" s="26"/>
      <c r="E16" s="622" t="s">
        <v>19</v>
      </c>
      <c r="F16" s="622"/>
      <c r="G16" s="622"/>
      <c r="H16" s="622"/>
    </row>
    <row r="17" spans="2:8" ht="15.75" customHeight="1">
      <c r="B17" s="641"/>
      <c r="C17" s="641"/>
      <c r="D17" s="26"/>
      <c r="E17" s="623" t="s">
        <v>38</v>
      </c>
      <c r="F17" s="623"/>
      <c r="G17" s="623"/>
      <c r="H17" s="623"/>
    </row>
    <row r="18" spans="2:8" s="27" customFormat="1" ht="15.75" customHeight="1">
      <c r="B18" s="641"/>
      <c r="C18" s="641"/>
      <c r="D18" s="28"/>
      <c r="E18" s="624" t="s">
        <v>53</v>
      </c>
      <c r="F18" s="624"/>
      <c r="G18" s="624"/>
      <c r="H18" s="624"/>
    </row>
    <row r="20" ht="15.75">
      <c r="B20" s="19"/>
    </row>
    <row r="22" ht="15.75" hidden="1">
      <c r="A22" s="20" t="s">
        <v>41</v>
      </c>
    </row>
    <row r="23" spans="1:3" ht="15.75" hidden="1">
      <c r="A23" s="21"/>
      <c r="B23" s="642" t="s">
        <v>48</v>
      </c>
      <c r="C23" s="642"/>
    </row>
    <row r="24" spans="1:8" ht="15.75" customHeight="1" hidden="1">
      <c r="A24" s="22" t="s">
        <v>25</v>
      </c>
      <c r="B24" s="636" t="s">
        <v>51</v>
      </c>
      <c r="C24" s="636"/>
      <c r="D24" s="22"/>
      <c r="E24" s="22"/>
      <c r="F24" s="22"/>
      <c r="G24" s="22"/>
      <c r="H24" s="22"/>
    </row>
    <row r="25" spans="1:8" ht="15" customHeight="1" hidden="1">
      <c r="A25" s="22"/>
      <c r="B25" s="636" t="s">
        <v>52</v>
      </c>
      <c r="C25" s="636"/>
      <c r="D25" s="636"/>
      <c r="E25" s="22"/>
      <c r="F25" s="22"/>
      <c r="G25" s="22"/>
      <c r="H25" s="22"/>
    </row>
    <row r="26" spans="2:3" ht="15.75">
      <c r="B26" s="23"/>
      <c r="C26" s="23"/>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807" t="s">
        <v>225</v>
      </c>
      <c r="B1" s="807"/>
      <c r="C1" s="807"/>
      <c r="D1" s="810" t="s">
        <v>341</v>
      </c>
      <c r="E1" s="810"/>
      <c r="F1" s="810"/>
      <c r="G1" s="810"/>
      <c r="H1" s="810"/>
      <c r="I1" s="810"/>
      <c r="J1" s="191" t="s">
        <v>342</v>
      </c>
      <c r="K1" s="322"/>
      <c r="L1" s="322"/>
    </row>
    <row r="2" spans="1:12" ht="18.75" customHeight="1">
      <c r="A2" s="808" t="s">
        <v>300</v>
      </c>
      <c r="B2" s="808"/>
      <c r="C2" s="808"/>
      <c r="D2" s="902" t="s">
        <v>226</v>
      </c>
      <c r="E2" s="902"/>
      <c r="F2" s="902"/>
      <c r="G2" s="902"/>
      <c r="H2" s="902"/>
      <c r="I2" s="902"/>
      <c r="J2" s="807" t="s">
        <v>343</v>
      </c>
      <c r="K2" s="807"/>
      <c r="L2" s="807"/>
    </row>
    <row r="3" spans="1:12" ht="17.25">
      <c r="A3" s="808" t="s">
        <v>252</v>
      </c>
      <c r="B3" s="808"/>
      <c r="C3" s="808"/>
      <c r="D3" s="903" t="s">
        <v>344</v>
      </c>
      <c r="E3" s="904"/>
      <c r="F3" s="904"/>
      <c r="G3" s="904"/>
      <c r="H3" s="904"/>
      <c r="I3" s="904"/>
      <c r="J3" s="194" t="s">
        <v>360</v>
      </c>
      <c r="K3" s="194"/>
      <c r="L3" s="194"/>
    </row>
    <row r="4" spans="1:12" ht="15.75">
      <c r="A4" s="906" t="s">
        <v>345</v>
      </c>
      <c r="B4" s="906"/>
      <c r="C4" s="906"/>
      <c r="D4" s="907"/>
      <c r="E4" s="907"/>
      <c r="F4" s="907"/>
      <c r="G4" s="907"/>
      <c r="H4" s="907"/>
      <c r="I4" s="907"/>
      <c r="J4" s="804" t="s">
        <v>302</v>
      </c>
      <c r="K4" s="804"/>
      <c r="L4" s="804"/>
    </row>
    <row r="5" spans="1:13" ht="15.75">
      <c r="A5" s="324"/>
      <c r="B5" s="324"/>
      <c r="C5" s="325"/>
      <c r="D5" s="325"/>
      <c r="E5" s="193"/>
      <c r="J5" s="326" t="s">
        <v>346</v>
      </c>
      <c r="K5" s="241"/>
      <c r="L5" s="241"/>
      <c r="M5" s="241"/>
    </row>
    <row r="6" spans="1:13" s="329" customFormat="1" ht="24.75" customHeight="1">
      <c r="A6" s="910" t="s">
        <v>55</v>
      </c>
      <c r="B6" s="911"/>
      <c r="C6" s="905" t="s">
        <v>347</v>
      </c>
      <c r="D6" s="905"/>
      <c r="E6" s="905"/>
      <c r="F6" s="905"/>
      <c r="G6" s="905"/>
      <c r="H6" s="905"/>
      <c r="I6" s="905" t="s">
        <v>227</v>
      </c>
      <c r="J6" s="905"/>
      <c r="K6" s="905"/>
      <c r="L6" s="905"/>
      <c r="M6" s="328"/>
    </row>
    <row r="7" spans="1:13" s="329" customFormat="1" ht="17.25" customHeight="1">
      <c r="A7" s="912"/>
      <c r="B7" s="913"/>
      <c r="C7" s="905" t="s">
        <v>31</v>
      </c>
      <c r="D7" s="905"/>
      <c r="E7" s="905" t="s">
        <v>7</v>
      </c>
      <c r="F7" s="905"/>
      <c r="G7" s="905"/>
      <c r="H7" s="905"/>
      <c r="I7" s="905" t="s">
        <v>228</v>
      </c>
      <c r="J7" s="905"/>
      <c r="K7" s="905" t="s">
        <v>229</v>
      </c>
      <c r="L7" s="905"/>
      <c r="M7" s="328"/>
    </row>
    <row r="8" spans="1:12" s="329" customFormat="1" ht="27.75" customHeight="1">
      <c r="A8" s="912"/>
      <c r="B8" s="913"/>
      <c r="C8" s="905"/>
      <c r="D8" s="905"/>
      <c r="E8" s="905" t="s">
        <v>230</v>
      </c>
      <c r="F8" s="905"/>
      <c r="G8" s="905" t="s">
        <v>231</v>
      </c>
      <c r="H8" s="905"/>
      <c r="I8" s="905"/>
      <c r="J8" s="905"/>
      <c r="K8" s="905"/>
      <c r="L8" s="905"/>
    </row>
    <row r="9" spans="1:12" s="329" customFormat="1" ht="24.75" customHeight="1">
      <c r="A9" s="914"/>
      <c r="B9" s="915"/>
      <c r="C9" s="327" t="s">
        <v>232</v>
      </c>
      <c r="D9" s="327" t="s">
        <v>9</v>
      </c>
      <c r="E9" s="327" t="s">
        <v>3</v>
      </c>
      <c r="F9" s="327" t="s">
        <v>233</v>
      </c>
      <c r="G9" s="327" t="s">
        <v>3</v>
      </c>
      <c r="H9" s="327" t="s">
        <v>233</v>
      </c>
      <c r="I9" s="327" t="s">
        <v>3</v>
      </c>
      <c r="J9" s="327" t="s">
        <v>233</v>
      </c>
      <c r="K9" s="327" t="s">
        <v>3</v>
      </c>
      <c r="L9" s="327" t="s">
        <v>233</v>
      </c>
    </row>
    <row r="10" spans="1:12" s="331" customFormat="1" ht="15.75">
      <c r="A10" s="838" t="s">
        <v>6</v>
      </c>
      <c r="B10" s="839"/>
      <c r="C10" s="330">
        <v>1</v>
      </c>
      <c r="D10" s="330">
        <v>2</v>
      </c>
      <c r="E10" s="330">
        <v>3</v>
      </c>
      <c r="F10" s="330">
        <v>4</v>
      </c>
      <c r="G10" s="330">
        <v>5</v>
      </c>
      <c r="H10" s="330">
        <v>6</v>
      </c>
      <c r="I10" s="330">
        <v>7</v>
      </c>
      <c r="J10" s="330">
        <v>8</v>
      </c>
      <c r="K10" s="330">
        <v>9</v>
      </c>
      <c r="L10" s="330">
        <v>10</v>
      </c>
    </row>
    <row r="11" spans="1:12" s="331" customFormat="1" ht="30.75" customHeight="1">
      <c r="A11" s="827" t="s">
        <v>297</v>
      </c>
      <c r="B11" s="828"/>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814" t="s">
        <v>298</v>
      </c>
      <c r="B12" s="815"/>
      <c r="C12" s="249">
        <v>0</v>
      </c>
      <c r="D12" s="249">
        <v>0</v>
      </c>
      <c r="E12" s="249">
        <v>0</v>
      </c>
      <c r="F12" s="249">
        <v>0</v>
      </c>
      <c r="G12" s="249">
        <v>0</v>
      </c>
      <c r="H12" s="249">
        <v>0</v>
      </c>
      <c r="I12" s="249">
        <v>0</v>
      </c>
      <c r="J12" s="249">
        <v>0</v>
      </c>
      <c r="K12" s="249">
        <v>0</v>
      </c>
      <c r="L12" s="249">
        <v>0</v>
      </c>
    </row>
    <row r="13" spans="1:32" s="331" customFormat="1" ht="17.25" customHeight="1">
      <c r="A13" s="822" t="s">
        <v>30</v>
      </c>
      <c r="B13" s="816"/>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78</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267</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299</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270</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271</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272</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273</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278</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280</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281</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282</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284</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819" t="s">
        <v>285</v>
      </c>
      <c r="C28" s="819"/>
      <c r="D28" s="819"/>
      <c r="E28" s="204"/>
      <c r="F28" s="258"/>
      <c r="G28" s="258"/>
      <c r="H28" s="818" t="s">
        <v>285</v>
      </c>
      <c r="I28" s="818"/>
      <c r="J28" s="818"/>
      <c r="K28" s="818"/>
      <c r="L28" s="818"/>
      <c r="AG28" s="192" t="s">
        <v>286</v>
      </c>
      <c r="AI28" s="190">
        <f>82/88</f>
        <v>0.9318181818181818</v>
      </c>
    </row>
    <row r="29" spans="1:12" s="192" customFormat="1" ht="19.5" customHeight="1">
      <c r="A29" s="202"/>
      <c r="B29" s="820" t="s">
        <v>234</v>
      </c>
      <c r="C29" s="820"/>
      <c r="D29" s="820"/>
      <c r="E29" s="204"/>
      <c r="F29" s="205"/>
      <c r="G29" s="205"/>
      <c r="H29" s="821" t="s">
        <v>152</v>
      </c>
      <c r="I29" s="821"/>
      <c r="J29" s="821"/>
      <c r="K29" s="821"/>
      <c r="L29" s="821"/>
    </row>
    <row r="30" spans="1:12" s="196" customFormat="1" ht="15" customHeight="1">
      <c r="A30" s="202"/>
      <c r="B30" s="909"/>
      <c r="C30" s="909"/>
      <c r="D30" s="909"/>
      <c r="E30" s="204"/>
      <c r="F30" s="205"/>
      <c r="G30" s="205"/>
      <c r="H30" s="782"/>
      <c r="I30" s="782"/>
      <c r="J30" s="782"/>
      <c r="K30" s="782"/>
      <c r="L30" s="782"/>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916" t="s">
        <v>289</v>
      </c>
      <c r="C33" s="916"/>
      <c r="D33" s="916"/>
      <c r="E33" s="336"/>
      <c r="F33" s="336"/>
      <c r="G33" s="336"/>
      <c r="H33" s="336"/>
      <c r="I33" s="336"/>
      <c r="J33" s="337" t="s">
        <v>289</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908" t="s">
        <v>235</v>
      </c>
      <c r="C37" s="908"/>
      <c r="D37" s="908"/>
      <c r="E37" s="908"/>
      <c r="F37" s="908"/>
      <c r="G37" s="908"/>
      <c r="H37" s="908"/>
      <c r="I37" s="908"/>
      <c r="J37" s="908"/>
      <c r="K37" s="339"/>
      <c r="L37" s="294"/>
      <c r="M37" s="265"/>
      <c r="N37" s="265"/>
      <c r="O37" s="265"/>
    </row>
    <row r="38" spans="2:12" s="184" customFormat="1" ht="18.75" hidden="1">
      <c r="B38" s="236" t="s">
        <v>236</v>
      </c>
      <c r="C38" s="186"/>
      <c r="D38" s="186"/>
      <c r="E38" s="186"/>
      <c r="F38" s="186"/>
      <c r="G38" s="186"/>
      <c r="H38" s="186"/>
      <c r="I38" s="186"/>
      <c r="J38" s="186"/>
      <c r="K38" s="338"/>
      <c r="L38" s="186"/>
    </row>
    <row r="39" spans="2:12" ht="18.75" hidden="1">
      <c r="B39" s="340" t="s">
        <v>237</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687" t="s">
        <v>331</v>
      </c>
      <c r="C41" s="687"/>
      <c r="D41" s="687"/>
      <c r="E41" s="210"/>
      <c r="F41" s="210"/>
      <c r="G41" s="182"/>
      <c r="H41" s="688" t="s">
        <v>243</v>
      </c>
      <c r="I41" s="688"/>
      <c r="J41" s="688"/>
      <c r="K41" s="688"/>
      <c r="L41" s="688"/>
      <c r="M41" s="163"/>
    </row>
    <row r="42" spans="2:12" ht="18.75">
      <c r="B42" s="336"/>
      <c r="C42" s="336"/>
      <c r="D42" s="336"/>
      <c r="E42" s="336"/>
      <c r="F42" s="336"/>
      <c r="G42" s="336"/>
      <c r="H42" s="336"/>
      <c r="I42" s="336"/>
      <c r="J42" s="336"/>
      <c r="K42" s="336"/>
      <c r="L42" s="336"/>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917" t="s">
        <v>373</v>
      </c>
      <c r="M1" s="918"/>
      <c r="N1" s="918"/>
      <c r="O1" s="365"/>
      <c r="P1" s="365"/>
      <c r="Q1" s="365"/>
      <c r="R1" s="365"/>
      <c r="S1" s="365"/>
      <c r="T1" s="365"/>
      <c r="U1" s="365"/>
      <c r="V1" s="365"/>
      <c r="W1" s="365"/>
      <c r="X1" s="365"/>
      <c r="Y1" s="366"/>
    </row>
    <row r="2" spans="11:17" ht="34.5" customHeight="1">
      <c r="K2" s="349"/>
      <c r="L2" s="919" t="s">
        <v>380</v>
      </c>
      <c r="M2" s="920"/>
      <c r="N2" s="921"/>
      <c r="O2" s="29"/>
      <c r="P2" s="351"/>
      <c r="Q2" s="347"/>
    </row>
    <row r="3" spans="11:18" ht="31.5" customHeight="1">
      <c r="K3" s="349"/>
      <c r="L3" s="354" t="s">
        <v>389</v>
      </c>
      <c r="M3" s="355">
        <f>'06'!C11</f>
        <v>13926</v>
      </c>
      <c r="N3" s="355"/>
      <c r="O3" s="355"/>
      <c r="P3" s="352"/>
      <c r="Q3" s="348"/>
      <c r="R3" s="345"/>
    </row>
    <row r="4" spans="11:18" ht="30" customHeight="1">
      <c r="K4" s="349"/>
      <c r="L4" s="356" t="s">
        <v>374</v>
      </c>
      <c r="M4" s="357">
        <f>'06'!D11</f>
        <v>8728</v>
      </c>
      <c r="N4" s="355"/>
      <c r="O4" s="355"/>
      <c r="P4" s="352"/>
      <c r="Q4" s="348"/>
      <c r="R4" s="345"/>
    </row>
    <row r="5" spans="11:18" ht="31.5" customHeight="1">
      <c r="K5" s="349"/>
      <c r="L5" s="356" t="s">
        <v>375</v>
      </c>
      <c r="M5" s="357">
        <f>'06'!E11</f>
        <v>5198</v>
      </c>
      <c r="N5" s="355"/>
      <c r="O5" s="355"/>
      <c r="P5" s="352"/>
      <c r="Q5" s="348"/>
      <c r="R5" s="345"/>
    </row>
    <row r="6" spans="11:18" ht="27" customHeight="1">
      <c r="K6" s="349"/>
      <c r="L6" s="354" t="s">
        <v>376</v>
      </c>
      <c r="M6" s="355">
        <f>'06'!F11</f>
        <v>163</v>
      </c>
      <c r="N6" s="355"/>
      <c r="O6" s="355"/>
      <c r="P6" s="352"/>
      <c r="Q6" s="348"/>
      <c r="R6" s="345"/>
    </row>
    <row r="7" spans="11:18" s="342" customFormat="1" ht="30" customHeight="1">
      <c r="K7" s="350"/>
      <c r="L7" s="358" t="s">
        <v>391</v>
      </c>
      <c r="M7" s="355">
        <f>'06'!H11</f>
        <v>13763</v>
      </c>
      <c r="N7" s="355"/>
      <c r="O7" s="355"/>
      <c r="P7" s="352"/>
      <c r="Q7" s="348"/>
      <c r="R7" s="345"/>
    </row>
    <row r="8" spans="11:18" ht="30.75" customHeight="1">
      <c r="K8" s="349"/>
      <c r="L8" s="359" t="s">
        <v>390</v>
      </c>
      <c r="M8" s="360">
        <f>'[7]M6 Tong hop Viec CHV '!$C$12</f>
        <v>1489</v>
      </c>
      <c r="N8" s="355"/>
      <c r="O8" s="355"/>
      <c r="P8" s="352"/>
      <c r="Q8" s="348"/>
      <c r="R8" s="345"/>
    </row>
    <row r="9" spans="11:18" ht="33" customHeight="1">
      <c r="K9" s="349"/>
      <c r="L9" s="367" t="s">
        <v>393</v>
      </c>
      <c r="M9" s="368">
        <f>(M7-M8)/M8</f>
        <v>8.243116185359302</v>
      </c>
      <c r="N9" s="355"/>
      <c r="O9" s="355"/>
      <c r="P9" s="352"/>
      <c r="Q9" s="348"/>
      <c r="R9" s="345"/>
    </row>
    <row r="10" spans="11:18" ht="33" customHeight="1">
      <c r="K10" s="349"/>
      <c r="L10" s="354" t="s">
        <v>392</v>
      </c>
      <c r="M10" s="355">
        <f>'06'!I11</f>
        <v>8758</v>
      </c>
      <c r="N10" s="355" t="s">
        <v>377</v>
      </c>
      <c r="O10" s="361">
        <f>M10/M7</f>
        <v>0.6363438203879968</v>
      </c>
      <c r="P10" s="352"/>
      <c r="Q10" s="348"/>
      <c r="R10" s="345"/>
    </row>
    <row r="11" spans="11:18" ht="22.5" customHeight="1">
      <c r="K11" s="349"/>
      <c r="L11" s="354" t="s">
        <v>394</v>
      </c>
      <c r="M11" s="355">
        <f>'06'!Q11</f>
        <v>5005</v>
      </c>
      <c r="N11" s="355" t="s">
        <v>377</v>
      </c>
      <c r="O11" s="361">
        <f>M11/M7</f>
        <v>0.3636561796120032</v>
      </c>
      <c r="P11" s="352"/>
      <c r="Q11" s="348"/>
      <c r="R11" s="345"/>
    </row>
    <row r="12" spans="11:18" ht="34.5" customHeight="1">
      <c r="K12" s="349"/>
      <c r="L12" s="354" t="s">
        <v>395</v>
      </c>
      <c r="M12" s="355">
        <f>'06'!J11+'06'!K11</f>
        <v>3945</v>
      </c>
      <c r="N12" s="354"/>
      <c r="O12" s="354"/>
      <c r="P12" s="346"/>
      <c r="R12" s="346"/>
    </row>
    <row r="13" spans="11:18" ht="33.75" customHeight="1">
      <c r="K13" s="349"/>
      <c r="L13" s="354" t="s">
        <v>396</v>
      </c>
      <c r="M13" s="361">
        <f>M12/M7</f>
        <v>0.28663808762624426</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397</v>
      </c>
      <c r="M16" s="360">
        <f>'[7]M6 Tong hop Viec CHV '!$H$12+'[7]M6 Tong hop Viec CHV '!$I$12+'[7]M6 Tong hop Viec CHV '!$K$12</f>
        <v>749</v>
      </c>
      <c r="N16" s="355"/>
      <c r="O16" s="355"/>
      <c r="P16" s="352"/>
      <c r="R16" s="346"/>
    </row>
    <row r="17" spans="11:18" ht="24.75" customHeight="1">
      <c r="K17" s="349"/>
      <c r="L17" s="367" t="s">
        <v>398</v>
      </c>
      <c r="M17" s="362">
        <f>M16/M8</f>
        <v>0.5030221625251847</v>
      </c>
      <c r="N17" s="355"/>
      <c r="O17" s="355"/>
      <c r="P17" s="352"/>
      <c r="R17" s="346"/>
    </row>
    <row r="18" spans="11:18" ht="26.25" customHeight="1">
      <c r="K18" s="349"/>
      <c r="L18" s="367" t="s">
        <v>378</v>
      </c>
      <c r="M18" s="368">
        <f>M13-M17</f>
        <v>-0.21638407489894046</v>
      </c>
      <c r="N18" s="355"/>
      <c r="O18" s="355"/>
      <c r="P18" s="352"/>
      <c r="R18" s="346"/>
    </row>
    <row r="19" spans="11:18" ht="24.75" customHeight="1">
      <c r="K19" s="349"/>
      <c r="L19" s="354" t="s">
        <v>399</v>
      </c>
      <c r="M19" s="355">
        <f>'06'!J11</f>
        <v>3836</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400</v>
      </c>
      <c r="M26" s="361">
        <f>M19/'06'!I11</f>
        <v>0.43799954327472024</v>
      </c>
      <c r="N26" s="355"/>
      <c r="O26" s="355"/>
      <c r="P26" s="352"/>
      <c r="R26" s="346"/>
    </row>
    <row r="27" spans="11:18" ht="24.75" customHeight="1">
      <c r="K27" s="349"/>
      <c r="L27" s="359" t="s">
        <v>401</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402</v>
      </c>
      <c r="M30" s="361">
        <f>M26-M27</f>
        <v>-0.23466232722887692</v>
      </c>
      <c r="N30" s="355"/>
      <c r="O30" s="355"/>
      <c r="P30" s="352"/>
      <c r="R30" s="346"/>
    </row>
    <row r="31" spans="11:18" ht="24.75" customHeight="1">
      <c r="K31" s="349"/>
      <c r="L31" s="354" t="s">
        <v>403</v>
      </c>
      <c r="M31" s="355">
        <f>'06'!R11</f>
        <v>9818</v>
      </c>
      <c r="N31" s="355"/>
      <c r="O31" s="355"/>
      <c r="P31" s="352"/>
      <c r="R31" s="346"/>
    </row>
    <row r="32" spans="11:18" ht="24.75" customHeight="1">
      <c r="K32" s="349"/>
      <c r="L32" s="359" t="s">
        <v>404</v>
      </c>
      <c r="M32" s="360">
        <f>'[7]M6 Tong hop Viec CHV '!$R$12</f>
        <v>719</v>
      </c>
      <c r="N32" s="355"/>
      <c r="O32" s="355"/>
      <c r="P32" s="352"/>
      <c r="R32" s="346"/>
    </row>
    <row r="33" spans="11:18" ht="24.75" customHeight="1">
      <c r="K33" s="349"/>
      <c r="L33" s="367" t="s">
        <v>405</v>
      </c>
      <c r="M33" s="369">
        <f>M31-M32</f>
        <v>9099</v>
      </c>
      <c r="N33" s="369" t="s">
        <v>379</v>
      </c>
      <c r="O33" s="368">
        <f>(M31-M32)/M32</f>
        <v>12.655076495132128</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381</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406</v>
      </c>
      <c r="M42" s="355">
        <f>'07'!C11</f>
        <v>3542614645</v>
      </c>
      <c r="N42" s="355"/>
      <c r="O42" s="355"/>
      <c r="P42" s="346"/>
      <c r="R42" s="346"/>
    </row>
    <row r="43" spans="11:18" ht="24.75" customHeight="1">
      <c r="K43" s="349"/>
      <c r="L43" s="363" t="s">
        <v>98</v>
      </c>
      <c r="M43" s="355">
        <f>'07'!D11</f>
        <v>2845019442</v>
      </c>
      <c r="N43" s="355"/>
      <c r="O43" s="355"/>
      <c r="P43" s="346"/>
      <c r="R43" s="346"/>
    </row>
    <row r="44" spans="11:18" ht="24.75" customHeight="1">
      <c r="K44" s="349"/>
      <c r="L44" s="363" t="s">
        <v>375</v>
      </c>
      <c r="M44" s="355">
        <f>'07'!E11</f>
        <v>697595203</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407</v>
      </c>
      <c r="M47" s="355">
        <f>'07'!F11</f>
        <v>141705155</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408</v>
      </c>
      <c r="M50" s="355">
        <f>'07'!H11</f>
        <v>3400909490</v>
      </c>
      <c r="N50" s="355"/>
      <c r="O50" s="355"/>
      <c r="P50" s="346"/>
      <c r="R50" s="346"/>
    </row>
    <row r="51" spans="11:18" ht="24.75" customHeight="1">
      <c r="K51" s="349"/>
      <c r="L51" s="364" t="s">
        <v>409</v>
      </c>
      <c r="M51" s="360">
        <f>'[7]M7 Thop tien CHV'!$C$12</f>
        <v>54227822.442</v>
      </c>
      <c r="N51" s="355"/>
      <c r="O51" s="355"/>
      <c r="P51" s="346"/>
      <c r="R51" s="346"/>
    </row>
    <row r="52" spans="11:18" ht="24.75" customHeight="1">
      <c r="K52" s="349"/>
      <c r="L52" s="377" t="s">
        <v>382</v>
      </c>
      <c r="M52" s="369">
        <f>M50-M51</f>
        <v>3346681667.558</v>
      </c>
      <c r="N52" s="355"/>
      <c r="O52" s="355"/>
      <c r="P52" s="346"/>
      <c r="R52" s="346"/>
    </row>
    <row r="53" spans="11:18" ht="24.75" customHeight="1">
      <c r="K53" s="349"/>
      <c r="L53" s="377" t="s">
        <v>383</v>
      </c>
      <c r="M53" s="368">
        <f>(M52/M51)</f>
        <v>61.71521401467821</v>
      </c>
      <c r="N53" s="355"/>
      <c r="O53" s="355"/>
      <c r="P53" s="346"/>
      <c r="R53" s="346"/>
    </row>
    <row r="54" spans="11:18" ht="24.75" customHeight="1">
      <c r="K54" s="349"/>
      <c r="L54" s="363" t="s">
        <v>410</v>
      </c>
      <c r="M54" s="355">
        <f>'07'!I11</f>
        <v>3094015822</v>
      </c>
      <c r="N54" s="355" t="s">
        <v>384</v>
      </c>
      <c r="O54" s="361">
        <f>'07'!I11/'07'!H11</f>
        <v>0.909761295058752</v>
      </c>
      <c r="P54" s="346"/>
      <c r="R54" s="346"/>
    </row>
    <row r="55" spans="11:18" ht="24.75" customHeight="1">
      <c r="K55" s="349"/>
      <c r="L55" s="363" t="s">
        <v>411</v>
      </c>
      <c r="M55" s="355">
        <f>'07'!R11</f>
        <v>306893668</v>
      </c>
      <c r="N55" s="355" t="s">
        <v>384</v>
      </c>
      <c r="O55" s="361">
        <f>'07'!R11/'07'!H11</f>
        <v>0.09023870494124793</v>
      </c>
      <c r="P55" s="346"/>
      <c r="R55" s="346"/>
    </row>
    <row r="56" spans="11:18" ht="24.75" customHeight="1">
      <c r="K56" s="349"/>
      <c r="L56" s="363" t="s">
        <v>412</v>
      </c>
      <c r="M56" s="355">
        <f>'07'!J11+'07'!K11+'07'!L11</f>
        <v>187809968</v>
      </c>
      <c r="N56" s="355" t="s">
        <v>384</v>
      </c>
      <c r="O56" s="361">
        <f>M56/'07'!H11</f>
        <v>0.05522345377089115</v>
      </c>
      <c r="P56" s="346"/>
      <c r="R56" s="346"/>
    </row>
    <row r="57" spans="11:18" ht="24.75" customHeight="1">
      <c r="K57" s="349"/>
      <c r="L57" s="364" t="s">
        <v>413</v>
      </c>
      <c r="M57" s="360">
        <f>'[7]M7 Thop tien CHV'!$H$12+'[7]M7 Thop tien CHV'!$I$12+'[7]M7 Thop tien CHV'!$K$12</f>
        <v>2217726.5</v>
      </c>
      <c r="N57" s="360" t="s">
        <v>384</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414</v>
      </c>
      <c r="M60" s="368">
        <f>O56-O57</f>
        <v>0.014326984022875813</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415</v>
      </c>
      <c r="M63" s="355">
        <f>'07'!J11</f>
        <v>129537070</v>
      </c>
      <c r="N63" s="355" t="s">
        <v>385</v>
      </c>
      <c r="O63" s="361">
        <f>'07'!J11/'07'!I11</f>
        <v>0.041866970775949704</v>
      </c>
      <c r="P63" s="346"/>
      <c r="R63" s="346"/>
    </row>
    <row r="64" spans="11:16" ht="24.75" customHeight="1">
      <c r="K64" s="349"/>
      <c r="L64" s="364" t="s">
        <v>416</v>
      </c>
      <c r="M64" s="360">
        <f>'[7]M7 Thop tien CHV'!$H$12</f>
        <v>2212774.5</v>
      </c>
      <c r="N64" s="360" t="s">
        <v>386</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417</v>
      </c>
      <c r="M68" s="368">
        <f>O63-O64</f>
        <v>0.02762346945613605</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418</v>
      </c>
      <c r="M72" s="355">
        <f>'07'!S11</f>
        <v>3213099522</v>
      </c>
      <c r="N72" s="355"/>
      <c r="O72" s="355"/>
      <c r="P72" s="346"/>
    </row>
    <row r="73" spans="11:16" ht="24.75" customHeight="1">
      <c r="K73" s="349"/>
      <c r="L73" s="364" t="s">
        <v>419</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387</v>
      </c>
      <c r="M76" s="369">
        <f>M72-M73</f>
        <v>3164972711.638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388</v>
      </c>
      <c r="M79" s="368">
        <f>M76/M73</f>
        <v>65.76319286135366</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sheetPr>
    <tabColor indexed="19"/>
  </sheetPr>
  <dimension ref="A1:U128"/>
  <sheetViews>
    <sheetView showZeros="0" view="pageBreakPreview" zoomScale="90" zoomScaleSheetLayoutView="90" zoomScalePageLayoutView="0" workbookViewId="0" topLeftCell="A115">
      <selection activeCell="C134" sqref="C134"/>
    </sheetView>
  </sheetViews>
  <sheetFormatPr defaultColWidth="9.00390625" defaultRowHeight="15.75"/>
  <cols>
    <col min="1" max="1" width="4.125" style="384" customWidth="1"/>
    <col min="2" max="2" width="20.375" style="384" customWidth="1"/>
    <col min="3" max="3" width="9.625" style="388" customWidth="1"/>
    <col min="4" max="5" width="7.375" style="23" customWidth="1"/>
    <col min="6" max="6" width="6.50390625" style="23" customWidth="1"/>
    <col min="7" max="7" width="6.75390625" style="23" customWidth="1"/>
    <col min="8" max="8" width="8.875" style="388" customWidth="1"/>
    <col min="9" max="9" width="7.875" style="388" customWidth="1"/>
    <col min="10" max="11" width="6.25390625" style="23" customWidth="1"/>
    <col min="12" max="12" width="5.75390625" style="23" customWidth="1"/>
    <col min="13" max="14" width="5.875" style="23" customWidth="1"/>
    <col min="15" max="15" width="6.125" style="23" customWidth="1"/>
    <col min="16" max="16" width="5.25390625" style="23" customWidth="1"/>
    <col min="17" max="17" width="7.50390625" style="388" customWidth="1"/>
    <col min="18" max="18" width="8.75390625" style="388" customWidth="1"/>
    <col min="19" max="19" width="8.625" style="23" customWidth="1"/>
    <col min="20" max="20" width="9.00390625" style="402" customWidth="1"/>
    <col min="21" max="16384" width="9.00390625" style="23" customWidth="1"/>
  </cols>
  <sheetData>
    <row r="1" spans="1:20" ht="20.25" customHeight="1">
      <c r="A1" s="597" t="s">
        <v>27</v>
      </c>
      <c r="B1" s="597"/>
      <c r="C1" s="598"/>
      <c r="D1" s="440"/>
      <c r="E1" s="939" t="s">
        <v>64</v>
      </c>
      <c r="F1" s="939"/>
      <c r="G1" s="939"/>
      <c r="H1" s="939"/>
      <c r="I1" s="939"/>
      <c r="J1" s="939"/>
      <c r="K1" s="939"/>
      <c r="L1" s="939"/>
      <c r="M1" s="939"/>
      <c r="N1" s="939"/>
      <c r="O1" s="939"/>
      <c r="P1" s="599" t="s">
        <v>421</v>
      </c>
      <c r="Q1" s="600"/>
      <c r="R1" s="600"/>
      <c r="S1" s="599"/>
      <c r="T1" s="439"/>
    </row>
    <row r="2" spans="1:20" ht="17.25" customHeight="1">
      <c r="A2" s="944" t="s">
        <v>239</v>
      </c>
      <c r="B2" s="944"/>
      <c r="C2" s="944"/>
      <c r="D2" s="944"/>
      <c r="E2" s="940" t="s">
        <v>34</v>
      </c>
      <c r="F2" s="940"/>
      <c r="G2" s="940"/>
      <c r="H2" s="940"/>
      <c r="I2" s="940"/>
      <c r="J2" s="940"/>
      <c r="K2" s="940"/>
      <c r="L2" s="940"/>
      <c r="M2" s="940"/>
      <c r="N2" s="940"/>
      <c r="O2" s="940"/>
      <c r="P2" s="945" t="s">
        <v>584</v>
      </c>
      <c r="Q2" s="945"/>
      <c r="R2" s="945"/>
      <c r="S2" s="945"/>
      <c r="T2" s="439"/>
    </row>
    <row r="3" spans="1:20" ht="19.5" customHeight="1">
      <c r="A3" s="944" t="s">
        <v>240</v>
      </c>
      <c r="B3" s="944"/>
      <c r="C3" s="944"/>
      <c r="D3" s="944"/>
      <c r="E3" s="941" t="s">
        <v>608</v>
      </c>
      <c r="F3" s="941"/>
      <c r="G3" s="941"/>
      <c r="H3" s="941"/>
      <c r="I3" s="941"/>
      <c r="J3" s="941"/>
      <c r="K3" s="941"/>
      <c r="L3" s="941"/>
      <c r="M3" s="941"/>
      <c r="N3" s="941"/>
      <c r="O3" s="941"/>
      <c r="P3" s="599" t="s">
        <v>578</v>
      </c>
      <c r="Q3" s="598"/>
      <c r="R3" s="600"/>
      <c r="S3" s="599"/>
      <c r="T3" s="439"/>
    </row>
    <row r="4" spans="1:20" ht="14.25" customHeight="1">
      <c r="A4" s="601" t="s">
        <v>118</v>
      </c>
      <c r="B4" s="597"/>
      <c r="C4" s="598"/>
      <c r="D4" s="602"/>
      <c r="E4" s="602"/>
      <c r="F4" s="602"/>
      <c r="G4" s="602"/>
      <c r="H4" s="598"/>
      <c r="I4" s="598"/>
      <c r="J4" s="602"/>
      <c r="K4" s="602"/>
      <c r="L4" s="602"/>
      <c r="M4" s="602"/>
      <c r="N4" s="603"/>
      <c r="O4" s="603"/>
      <c r="P4" s="930" t="s">
        <v>302</v>
      </c>
      <c r="Q4" s="930"/>
      <c r="R4" s="930"/>
      <c r="S4" s="930"/>
      <c r="T4" s="439"/>
    </row>
    <row r="5" spans="1:20" ht="21.75" customHeight="1">
      <c r="A5" s="597"/>
      <c r="B5" s="597"/>
      <c r="C5" s="604"/>
      <c r="D5" s="440"/>
      <c r="E5" s="440"/>
      <c r="F5" s="440"/>
      <c r="G5" s="440"/>
      <c r="H5" s="604"/>
      <c r="I5" s="604"/>
      <c r="J5" s="440"/>
      <c r="K5" s="440"/>
      <c r="L5" s="440"/>
      <c r="M5" s="440"/>
      <c r="N5" s="440"/>
      <c r="O5" s="440"/>
      <c r="P5" s="440"/>
      <c r="Q5" s="605" t="s">
        <v>238</v>
      </c>
      <c r="R5" s="606"/>
      <c r="S5" s="607"/>
      <c r="T5" s="439"/>
    </row>
    <row r="6" spans="1:20" ht="19.5" customHeight="1">
      <c r="A6" s="931" t="s">
        <v>55</v>
      </c>
      <c r="B6" s="932"/>
      <c r="C6" s="924" t="s">
        <v>119</v>
      </c>
      <c r="D6" s="924"/>
      <c r="E6" s="924"/>
      <c r="F6" s="942" t="s">
        <v>99</v>
      </c>
      <c r="G6" s="942" t="s">
        <v>120</v>
      </c>
      <c r="H6" s="943" t="s">
        <v>100</v>
      </c>
      <c r="I6" s="943"/>
      <c r="J6" s="943"/>
      <c r="K6" s="943"/>
      <c r="L6" s="943"/>
      <c r="M6" s="943"/>
      <c r="N6" s="943"/>
      <c r="O6" s="943"/>
      <c r="P6" s="943"/>
      <c r="Q6" s="943"/>
      <c r="R6" s="938" t="s">
        <v>244</v>
      </c>
      <c r="S6" s="924" t="s">
        <v>423</v>
      </c>
      <c r="T6" s="439"/>
    </row>
    <row r="7" spans="1:20" s="378" customFormat="1" ht="27" customHeight="1">
      <c r="A7" s="933"/>
      <c r="B7" s="934"/>
      <c r="C7" s="938" t="s">
        <v>42</v>
      </c>
      <c r="D7" s="924" t="s">
        <v>7</v>
      </c>
      <c r="E7" s="924"/>
      <c r="F7" s="942"/>
      <c r="G7" s="942"/>
      <c r="H7" s="937" t="s">
        <v>100</v>
      </c>
      <c r="I7" s="924" t="s">
        <v>101</v>
      </c>
      <c r="J7" s="924"/>
      <c r="K7" s="924"/>
      <c r="L7" s="924"/>
      <c r="M7" s="924"/>
      <c r="N7" s="924"/>
      <c r="O7" s="924"/>
      <c r="P7" s="924"/>
      <c r="Q7" s="937" t="s">
        <v>110</v>
      </c>
      <c r="R7" s="938"/>
      <c r="S7" s="924"/>
      <c r="T7" s="608"/>
    </row>
    <row r="8" spans="1:20" ht="21.75" customHeight="1">
      <c r="A8" s="933"/>
      <c r="B8" s="934"/>
      <c r="C8" s="938"/>
      <c r="D8" s="924" t="s">
        <v>122</v>
      </c>
      <c r="E8" s="924" t="s">
        <v>123</v>
      </c>
      <c r="F8" s="942"/>
      <c r="G8" s="942"/>
      <c r="H8" s="937"/>
      <c r="I8" s="937" t="s">
        <v>422</v>
      </c>
      <c r="J8" s="924" t="s">
        <v>7</v>
      </c>
      <c r="K8" s="924"/>
      <c r="L8" s="924"/>
      <c r="M8" s="924"/>
      <c r="N8" s="924"/>
      <c r="O8" s="924"/>
      <c r="P8" s="924"/>
      <c r="Q8" s="937"/>
      <c r="R8" s="938"/>
      <c r="S8" s="924"/>
      <c r="T8" s="439"/>
    </row>
    <row r="9" spans="1:20" ht="84" customHeight="1">
      <c r="A9" s="935"/>
      <c r="B9" s="936"/>
      <c r="C9" s="938"/>
      <c r="D9" s="924"/>
      <c r="E9" s="924"/>
      <c r="F9" s="942"/>
      <c r="G9" s="942"/>
      <c r="H9" s="937"/>
      <c r="I9" s="937"/>
      <c r="J9" s="609" t="s">
        <v>124</v>
      </c>
      <c r="K9" s="609" t="s">
        <v>125</v>
      </c>
      <c r="L9" s="610" t="s">
        <v>103</v>
      </c>
      <c r="M9" s="610" t="s">
        <v>126</v>
      </c>
      <c r="N9" s="610" t="s">
        <v>106</v>
      </c>
      <c r="O9" s="610" t="s">
        <v>245</v>
      </c>
      <c r="P9" s="610" t="s">
        <v>109</v>
      </c>
      <c r="Q9" s="937"/>
      <c r="R9" s="938"/>
      <c r="S9" s="924"/>
      <c r="T9" s="439"/>
    </row>
    <row r="10" spans="1:20" ht="22.5" customHeight="1">
      <c r="A10" s="925" t="s">
        <v>6</v>
      </c>
      <c r="B10" s="926"/>
      <c r="C10" s="611">
        <v>1</v>
      </c>
      <c r="D10" s="612">
        <v>2</v>
      </c>
      <c r="E10" s="612">
        <v>3</v>
      </c>
      <c r="F10" s="612">
        <v>4</v>
      </c>
      <c r="G10" s="612">
        <v>5</v>
      </c>
      <c r="H10" s="611">
        <v>6</v>
      </c>
      <c r="I10" s="611">
        <v>7</v>
      </c>
      <c r="J10" s="612">
        <v>8</v>
      </c>
      <c r="K10" s="612">
        <v>9</v>
      </c>
      <c r="L10" s="612">
        <v>10</v>
      </c>
      <c r="M10" s="612">
        <v>11</v>
      </c>
      <c r="N10" s="612">
        <v>12</v>
      </c>
      <c r="O10" s="612">
        <v>13</v>
      </c>
      <c r="P10" s="612">
        <v>14</v>
      </c>
      <c r="Q10" s="611">
        <v>15</v>
      </c>
      <c r="R10" s="611">
        <v>16</v>
      </c>
      <c r="S10" s="613">
        <v>17</v>
      </c>
      <c r="T10" s="439"/>
    </row>
    <row r="11" spans="1:20" s="414" customFormat="1" ht="25.5" customHeight="1">
      <c r="A11" s="928" t="s">
        <v>30</v>
      </c>
      <c r="B11" s="929"/>
      <c r="C11" s="614">
        <f>C12+C30</f>
        <v>13926</v>
      </c>
      <c r="D11" s="614">
        <f aca="true" t="shared" si="0" ref="D11:R11">D12+D30</f>
        <v>8728</v>
      </c>
      <c r="E11" s="614">
        <f t="shared" si="0"/>
        <v>5198</v>
      </c>
      <c r="F11" s="614">
        <f t="shared" si="0"/>
        <v>163</v>
      </c>
      <c r="G11" s="614">
        <f t="shared" si="0"/>
        <v>2</v>
      </c>
      <c r="H11" s="614">
        <f t="shared" si="0"/>
        <v>13763</v>
      </c>
      <c r="I11" s="614">
        <f t="shared" si="0"/>
        <v>8758</v>
      </c>
      <c r="J11" s="614">
        <f t="shared" si="0"/>
        <v>3836</v>
      </c>
      <c r="K11" s="614">
        <f t="shared" si="0"/>
        <v>109</v>
      </c>
      <c r="L11" s="614">
        <f t="shared" si="0"/>
        <v>4621</v>
      </c>
      <c r="M11" s="614">
        <f t="shared" si="0"/>
        <v>140</v>
      </c>
      <c r="N11" s="614">
        <f t="shared" si="0"/>
        <v>2</v>
      </c>
      <c r="O11" s="614">
        <f t="shared" si="0"/>
        <v>0</v>
      </c>
      <c r="P11" s="614">
        <f t="shared" si="0"/>
        <v>50</v>
      </c>
      <c r="Q11" s="614">
        <f t="shared" si="0"/>
        <v>5005</v>
      </c>
      <c r="R11" s="614">
        <f t="shared" si="0"/>
        <v>9818</v>
      </c>
      <c r="S11" s="615">
        <f>(J11+K11)/I11</f>
        <v>0.4504453071477506</v>
      </c>
      <c r="T11" s="439">
        <f>R11+J11+K11-H11</f>
        <v>0</v>
      </c>
    </row>
    <row r="12" spans="1:20" s="414" customFormat="1" ht="25.5" customHeight="1">
      <c r="A12" s="436" t="s">
        <v>0</v>
      </c>
      <c r="B12" s="436" t="s">
        <v>78</v>
      </c>
      <c r="C12" s="616">
        <f>SUM(C13:C29)</f>
        <v>444</v>
      </c>
      <c r="D12" s="616">
        <f aca="true" t="shared" si="1" ref="D12:R12">SUM(D13:D29)</f>
        <v>133</v>
      </c>
      <c r="E12" s="616">
        <f t="shared" si="1"/>
        <v>311</v>
      </c>
      <c r="F12" s="616">
        <f t="shared" si="1"/>
        <v>32</v>
      </c>
      <c r="G12" s="616">
        <f t="shared" si="1"/>
        <v>0</v>
      </c>
      <c r="H12" s="616">
        <f t="shared" si="1"/>
        <v>412</v>
      </c>
      <c r="I12" s="616">
        <f t="shared" si="1"/>
        <v>407</v>
      </c>
      <c r="J12" s="616">
        <f t="shared" si="1"/>
        <v>175</v>
      </c>
      <c r="K12" s="616">
        <f t="shared" si="1"/>
        <v>2</v>
      </c>
      <c r="L12" s="616">
        <f t="shared" si="1"/>
        <v>228</v>
      </c>
      <c r="M12" s="616">
        <f t="shared" si="1"/>
        <v>0</v>
      </c>
      <c r="N12" s="616">
        <f t="shared" si="1"/>
        <v>0</v>
      </c>
      <c r="O12" s="616">
        <f t="shared" si="1"/>
        <v>0</v>
      </c>
      <c r="P12" s="616">
        <f t="shared" si="1"/>
        <v>2</v>
      </c>
      <c r="Q12" s="616">
        <f t="shared" si="1"/>
        <v>5</v>
      </c>
      <c r="R12" s="616">
        <f t="shared" si="1"/>
        <v>235</v>
      </c>
      <c r="S12" s="615">
        <f aca="true" t="shared" si="2" ref="S12:S77">(J12+K12)/I12</f>
        <v>0.4348894348894349</v>
      </c>
      <c r="T12" s="439">
        <f aca="true" t="shared" si="3" ref="T12:T77">C12-F12-H12</f>
        <v>0</v>
      </c>
    </row>
    <row r="13" spans="1:20" s="440" customFormat="1" ht="25.5" customHeight="1">
      <c r="A13" s="482" t="s">
        <v>45</v>
      </c>
      <c r="B13" s="499" t="s">
        <v>428</v>
      </c>
      <c r="C13" s="500">
        <f>D13+E13</f>
        <v>0</v>
      </c>
      <c r="D13" s="501">
        <v>0</v>
      </c>
      <c r="E13" s="502"/>
      <c r="F13" s="503"/>
      <c r="G13" s="502"/>
      <c r="H13" s="500">
        <f>I13+Q13</f>
        <v>0</v>
      </c>
      <c r="I13" s="500">
        <f>SUM(J13:P13)</f>
        <v>0</v>
      </c>
      <c r="J13" s="502"/>
      <c r="K13" s="502"/>
      <c r="L13" s="502">
        <v>0</v>
      </c>
      <c r="M13" s="502"/>
      <c r="N13" s="504"/>
      <c r="O13" s="502"/>
      <c r="P13" s="502"/>
      <c r="Q13" s="502"/>
      <c r="R13" s="505">
        <f>SUM(L13:Q13)</f>
        <v>0</v>
      </c>
      <c r="S13" s="506" t="e">
        <f>(J13+K13)/I13*100</f>
        <v>#DIV/0!</v>
      </c>
      <c r="T13" s="439">
        <f t="shared" si="3"/>
        <v>0</v>
      </c>
    </row>
    <row r="14" spans="1:20" s="440" customFormat="1" ht="25.5" customHeight="1">
      <c r="A14" s="482" t="s">
        <v>46</v>
      </c>
      <c r="B14" s="499" t="s">
        <v>429</v>
      </c>
      <c r="C14" s="500">
        <f aca="true" t="shared" si="4" ref="C14:C29">D14+E14</f>
        <v>2</v>
      </c>
      <c r="D14" s="501">
        <v>2</v>
      </c>
      <c r="E14" s="502"/>
      <c r="F14" s="503"/>
      <c r="G14" s="502"/>
      <c r="H14" s="500">
        <f aca="true" t="shared" si="5" ref="H14:H29">I14+Q14</f>
        <v>2</v>
      </c>
      <c r="I14" s="500">
        <f aca="true" t="shared" si="6" ref="I14:I29">SUM(J14:P14)</f>
        <v>2</v>
      </c>
      <c r="J14" s="502"/>
      <c r="K14" s="502"/>
      <c r="L14" s="502">
        <v>2</v>
      </c>
      <c r="M14" s="502"/>
      <c r="N14" s="504"/>
      <c r="O14" s="502"/>
      <c r="P14" s="502"/>
      <c r="Q14" s="502"/>
      <c r="R14" s="505">
        <f aca="true" t="shared" si="7" ref="R14:R29">SUM(L14:Q14)</f>
        <v>2</v>
      </c>
      <c r="S14" s="506">
        <f aca="true" t="shared" si="8" ref="S14:S29">(J14+K14)/I14*100</f>
        <v>0</v>
      </c>
      <c r="T14" s="439">
        <f t="shared" si="3"/>
        <v>0</v>
      </c>
    </row>
    <row r="15" spans="1:20" s="440" customFormat="1" ht="25.5" customHeight="1">
      <c r="A15" s="482" t="s">
        <v>102</v>
      </c>
      <c r="B15" s="499" t="s">
        <v>426</v>
      </c>
      <c r="C15" s="500">
        <f t="shared" si="4"/>
        <v>5</v>
      </c>
      <c r="D15" s="501">
        <v>1</v>
      </c>
      <c r="E15" s="502">
        <v>4</v>
      </c>
      <c r="F15" s="503"/>
      <c r="G15" s="502"/>
      <c r="H15" s="500">
        <f t="shared" si="5"/>
        <v>5</v>
      </c>
      <c r="I15" s="500">
        <f t="shared" si="6"/>
        <v>5</v>
      </c>
      <c r="J15" s="502">
        <v>4</v>
      </c>
      <c r="K15" s="502"/>
      <c r="L15" s="502">
        <v>1</v>
      </c>
      <c r="M15" s="502"/>
      <c r="N15" s="504"/>
      <c r="O15" s="502"/>
      <c r="P15" s="502"/>
      <c r="Q15" s="502"/>
      <c r="R15" s="505">
        <f t="shared" si="7"/>
        <v>1</v>
      </c>
      <c r="S15" s="506">
        <f t="shared" si="8"/>
        <v>80</v>
      </c>
      <c r="T15" s="439">
        <f t="shared" si="3"/>
        <v>0</v>
      </c>
    </row>
    <row r="16" spans="1:20" s="440" customFormat="1" ht="25.5" customHeight="1">
      <c r="A16" s="482" t="s">
        <v>104</v>
      </c>
      <c r="B16" s="499" t="s">
        <v>430</v>
      </c>
      <c r="C16" s="500">
        <f t="shared" si="4"/>
        <v>7</v>
      </c>
      <c r="D16" s="501"/>
      <c r="E16" s="502">
        <v>7</v>
      </c>
      <c r="F16" s="503">
        <v>0</v>
      </c>
      <c r="G16" s="502"/>
      <c r="H16" s="500">
        <f t="shared" si="5"/>
        <v>7</v>
      </c>
      <c r="I16" s="500">
        <f t="shared" si="6"/>
        <v>7</v>
      </c>
      <c r="J16" s="502"/>
      <c r="K16" s="502"/>
      <c r="L16" s="502">
        <v>7</v>
      </c>
      <c r="M16" s="502"/>
      <c r="N16" s="504"/>
      <c r="O16" s="502"/>
      <c r="P16" s="502"/>
      <c r="Q16" s="502"/>
      <c r="R16" s="505">
        <f t="shared" si="7"/>
        <v>7</v>
      </c>
      <c r="S16" s="506">
        <f t="shared" si="8"/>
        <v>0</v>
      </c>
      <c r="T16" s="439">
        <f t="shared" si="3"/>
        <v>0</v>
      </c>
    </row>
    <row r="17" spans="1:20" s="440" customFormat="1" ht="25.5" customHeight="1">
      <c r="A17" s="482" t="s">
        <v>105</v>
      </c>
      <c r="B17" s="507" t="s">
        <v>431</v>
      </c>
      <c r="C17" s="500">
        <f t="shared" si="4"/>
        <v>44</v>
      </c>
      <c r="D17" s="508">
        <v>17</v>
      </c>
      <c r="E17" s="509">
        <v>27</v>
      </c>
      <c r="F17" s="503"/>
      <c r="G17" s="509"/>
      <c r="H17" s="500">
        <f t="shared" si="5"/>
        <v>44</v>
      </c>
      <c r="I17" s="500">
        <f t="shared" si="6"/>
        <v>44</v>
      </c>
      <c r="J17" s="509">
        <v>18</v>
      </c>
      <c r="K17" s="509"/>
      <c r="L17" s="509">
        <v>26</v>
      </c>
      <c r="M17" s="509"/>
      <c r="N17" s="504"/>
      <c r="O17" s="509"/>
      <c r="P17" s="509"/>
      <c r="Q17" s="509"/>
      <c r="R17" s="505">
        <f t="shared" si="7"/>
        <v>26</v>
      </c>
      <c r="S17" s="506">
        <f t="shared" si="8"/>
        <v>40.909090909090914</v>
      </c>
      <c r="T17" s="439">
        <f t="shared" si="3"/>
        <v>0</v>
      </c>
    </row>
    <row r="18" spans="1:20" s="440" customFormat="1" ht="25.5" customHeight="1">
      <c r="A18" s="482" t="s">
        <v>107</v>
      </c>
      <c r="B18" s="499" t="s">
        <v>432</v>
      </c>
      <c r="C18" s="500">
        <f t="shared" si="4"/>
        <v>39</v>
      </c>
      <c r="D18" s="501">
        <v>12</v>
      </c>
      <c r="E18" s="502">
        <v>27</v>
      </c>
      <c r="F18" s="503">
        <v>4</v>
      </c>
      <c r="G18" s="502"/>
      <c r="H18" s="500">
        <f t="shared" si="5"/>
        <v>35</v>
      </c>
      <c r="I18" s="500">
        <f t="shared" si="6"/>
        <v>35</v>
      </c>
      <c r="J18" s="502">
        <v>11</v>
      </c>
      <c r="K18" s="502"/>
      <c r="L18" s="502">
        <v>24</v>
      </c>
      <c r="M18" s="502"/>
      <c r="N18" s="504"/>
      <c r="O18" s="502"/>
      <c r="P18" s="502"/>
      <c r="Q18" s="502"/>
      <c r="R18" s="505">
        <f t="shared" si="7"/>
        <v>24</v>
      </c>
      <c r="S18" s="506">
        <f t="shared" si="8"/>
        <v>31.428571428571427</v>
      </c>
      <c r="T18" s="439">
        <f t="shared" si="3"/>
        <v>0</v>
      </c>
    </row>
    <row r="19" spans="1:20" s="440" customFormat="1" ht="25.5" customHeight="1">
      <c r="A19" s="482" t="s">
        <v>108</v>
      </c>
      <c r="B19" s="499" t="s">
        <v>433</v>
      </c>
      <c r="C19" s="500">
        <f t="shared" si="4"/>
        <v>16</v>
      </c>
      <c r="D19" s="501">
        <v>9</v>
      </c>
      <c r="E19" s="502">
        <v>7</v>
      </c>
      <c r="F19" s="503"/>
      <c r="G19" s="502"/>
      <c r="H19" s="500">
        <f t="shared" si="5"/>
        <v>16</v>
      </c>
      <c r="I19" s="500">
        <f t="shared" si="6"/>
        <v>14</v>
      </c>
      <c r="J19" s="502">
        <v>5</v>
      </c>
      <c r="K19" s="502"/>
      <c r="L19" s="502">
        <v>9</v>
      </c>
      <c r="M19" s="502"/>
      <c r="N19" s="504"/>
      <c r="O19" s="502"/>
      <c r="P19" s="502"/>
      <c r="Q19" s="502">
        <v>2</v>
      </c>
      <c r="R19" s="505">
        <f t="shared" si="7"/>
        <v>11</v>
      </c>
      <c r="S19" s="506">
        <f t="shared" si="8"/>
        <v>35.714285714285715</v>
      </c>
      <c r="T19" s="439">
        <f t="shared" si="3"/>
        <v>0</v>
      </c>
    </row>
    <row r="20" spans="1:20" s="440" customFormat="1" ht="25.5" customHeight="1">
      <c r="A20" s="482" t="s">
        <v>116</v>
      </c>
      <c r="B20" s="499" t="s">
        <v>434</v>
      </c>
      <c r="C20" s="500">
        <f t="shared" si="4"/>
        <v>25</v>
      </c>
      <c r="D20" s="501">
        <v>3</v>
      </c>
      <c r="E20" s="502">
        <v>22</v>
      </c>
      <c r="F20" s="503">
        <v>6</v>
      </c>
      <c r="G20" s="502"/>
      <c r="H20" s="500">
        <f t="shared" si="5"/>
        <v>19</v>
      </c>
      <c r="I20" s="500">
        <f t="shared" si="6"/>
        <v>19</v>
      </c>
      <c r="J20" s="502">
        <v>6</v>
      </c>
      <c r="K20" s="502"/>
      <c r="L20" s="502">
        <v>13</v>
      </c>
      <c r="M20" s="502"/>
      <c r="N20" s="504"/>
      <c r="O20" s="502"/>
      <c r="P20" s="502"/>
      <c r="Q20" s="502"/>
      <c r="R20" s="505">
        <f t="shared" si="7"/>
        <v>13</v>
      </c>
      <c r="S20" s="506">
        <f t="shared" si="8"/>
        <v>31.57894736842105</v>
      </c>
      <c r="T20" s="439">
        <f t="shared" si="3"/>
        <v>0</v>
      </c>
    </row>
    <row r="21" spans="1:20" s="440" customFormat="1" ht="25.5" customHeight="1">
      <c r="A21" s="482" t="s">
        <v>420</v>
      </c>
      <c r="B21" s="499" t="s">
        <v>435</v>
      </c>
      <c r="C21" s="500">
        <f t="shared" si="4"/>
        <v>0</v>
      </c>
      <c r="D21" s="501">
        <v>0</v>
      </c>
      <c r="E21" s="502">
        <v>0</v>
      </c>
      <c r="F21" s="503"/>
      <c r="G21" s="502"/>
      <c r="H21" s="500">
        <f t="shared" si="5"/>
        <v>0</v>
      </c>
      <c r="I21" s="500">
        <f t="shared" si="6"/>
        <v>0</v>
      </c>
      <c r="J21" s="502"/>
      <c r="K21" s="502"/>
      <c r="L21" s="502">
        <v>0</v>
      </c>
      <c r="M21" s="502"/>
      <c r="N21" s="504">
        <v>0</v>
      </c>
      <c r="O21" s="502"/>
      <c r="P21" s="502">
        <v>0</v>
      </c>
      <c r="Q21" s="502"/>
      <c r="R21" s="505">
        <f t="shared" si="7"/>
        <v>0</v>
      </c>
      <c r="S21" s="506" t="e">
        <f t="shared" si="8"/>
        <v>#DIV/0!</v>
      </c>
      <c r="T21" s="439">
        <f t="shared" si="3"/>
        <v>0</v>
      </c>
    </row>
    <row r="22" spans="1:20" s="414" customFormat="1" ht="25.5" customHeight="1">
      <c r="A22" s="482" t="s">
        <v>436</v>
      </c>
      <c r="B22" s="499" t="s">
        <v>437</v>
      </c>
      <c r="C22" s="500">
        <f t="shared" si="4"/>
        <v>51</v>
      </c>
      <c r="D22" s="501">
        <v>18</v>
      </c>
      <c r="E22" s="502">
        <v>33</v>
      </c>
      <c r="F22" s="503">
        <v>6</v>
      </c>
      <c r="G22" s="502"/>
      <c r="H22" s="500">
        <f t="shared" si="5"/>
        <v>45</v>
      </c>
      <c r="I22" s="500">
        <f t="shared" si="6"/>
        <v>45</v>
      </c>
      <c r="J22" s="502">
        <v>19</v>
      </c>
      <c r="K22" s="502"/>
      <c r="L22" s="502">
        <v>26</v>
      </c>
      <c r="M22" s="502">
        <v>0</v>
      </c>
      <c r="N22" s="504"/>
      <c r="O22" s="502"/>
      <c r="P22" s="502"/>
      <c r="Q22" s="502"/>
      <c r="R22" s="505">
        <f t="shared" si="7"/>
        <v>26</v>
      </c>
      <c r="S22" s="506">
        <f t="shared" si="8"/>
        <v>42.22222222222222</v>
      </c>
      <c r="T22" s="439"/>
    </row>
    <row r="23" spans="1:20" s="440" customFormat="1" ht="25.5" customHeight="1">
      <c r="A23" s="482" t="s">
        <v>438</v>
      </c>
      <c r="B23" s="499" t="s">
        <v>439</v>
      </c>
      <c r="C23" s="500">
        <f t="shared" si="4"/>
        <v>22</v>
      </c>
      <c r="D23" s="501">
        <v>10</v>
      </c>
      <c r="E23" s="502">
        <v>12</v>
      </c>
      <c r="F23" s="503">
        <v>4</v>
      </c>
      <c r="G23" s="502"/>
      <c r="H23" s="500">
        <f t="shared" si="5"/>
        <v>18</v>
      </c>
      <c r="I23" s="500">
        <f t="shared" si="6"/>
        <v>18</v>
      </c>
      <c r="J23" s="502">
        <v>6</v>
      </c>
      <c r="K23" s="502"/>
      <c r="L23" s="502">
        <v>12</v>
      </c>
      <c r="M23" s="502"/>
      <c r="N23" s="504"/>
      <c r="O23" s="502"/>
      <c r="P23" s="502"/>
      <c r="Q23" s="502"/>
      <c r="R23" s="505">
        <f t="shared" si="7"/>
        <v>12</v>
      </c>
      <c r="S23" s="506">
        <f t="shared" si="8"/>
        <v>33.33333333333333</v>
      </c>
      <c r="T23" s="439">
        <f t="shared" si="3"/>
        <v>0</v>
      </c>
    </row>
    <row r="24" spans="1:20" s="414" customFormat="1" ht="25.5" customHeight="1">
      <c r="A24" s="482" t="s">
        <v>440</v>
      </c>
      <c r="B24" s="499" t="s">
        <v>441</v>
      </c>
      <c r="C24" s="500">
        <f t="shared" si="4"/>
        <v>46</v>
      </c>
      <c r="D24" s="510">
        <v>11</v>
      </c>
      <c r="E24" s="507">
        <v>35</v>
      </c>
      <c r="F24" s="503">
        <v>6</v>
      </c>
      <c r="G24" s="511"/>
      <c r="H24" s="500">
        <f t="shared" si="5"/>
        <v>40</v>
      </c>
      <c r="I24" s="500">
        <f t="shared" si="6"/>
        <v>40</v>
      </c>
      <c r="J24" s="507">
        <v>28</v>
      </c>
      <c r="K24" s="507"/>
      <c r="L24" s="512">
        <v>10</v>
      </c>
      <c r="M24" s="512"/>
      <c r="N24" s="504"/>
      <c r="O24" s="502"/>
      <c r="P24" s="502">
        <v>2</v>
      </c>
      <c r="Q24" s="502"/>
      <c r="R24" s="505">
        <f t="shared" si="7"/>
        <v>12</v>
      </c>
      <c r="S24" s="506">
        <f t="shared" si="8"/>
        <v>70</v>
      </c>
      <c r="T24" s="439">
        <f t="shared" si="3"/>
        <v>0</v>
      </c>
    </row>
    <row r="25" spans="1:20" s="440" customFormat="1" ht="25.5" customHeight="1">
      <c r="A25" s="482" t="s">
        <v>442</v>
      </c>
      <c r="B25" s="499" t="s">
        <v>443</v>
      </c>
      <c r="C25" s="500">
        <f t="shared" si="4"/>
        <v>36</v>
      </c>
      <c r="D25" s="510">
        <v>19</v>
      </c>
      <c r="E25" s="507">
        <v>17</v>
      </c>
      <c r="F25" s="503">
        <v>1</v>
      </c>
      <c r="G25" s="507"/>
      <c r="H25" s="500">
        <f t="shared" si="5"/>
        <v>35</v>
      </c>
      <c r="I25" s="500">
        <f t="shared" si="6"/>
        <v>35</v>
      </c>
      <c r="J25" s="507">
        <v>13</v>
      </c>
      <c r="K25" s="507">
        <v>1</v>
      </c>
      <c r="L25" s="512">
        <v>21</v>
      </c>
      <c r="M25" s="512"/>
      <c r="N25" s="504">
        <v>0</v>
      </c>
      <c r="O25" s="502"/>
      <c r="P25" s="502"/>
      <c r="Q25" s="502"/>
      <c r="R25" s="505">
        <f t="shared" si="7"/>
        <v>21</v>
      </c>
      <c r="S25" s="506">
        <f t="shared" si="8"/>
        <v>40</v>
      </c>
      <c r="T25" s="439">
        <f t="shared" si="3"/>
        <v>0</v>
      </c>
    </row>
    <row r="26" spans="1:20" s="414" customFormat="1" ht="25.5" customHeight="1">
      <c r="A26" s="482" t="s">
        <v>444</v>
      </c>
      <c r="B26" s="499" t="s">
        <v>445</v>
      </c>
      <c r="C26" s="500">
        <f t="shared" si="4"/>
        <v>32</v>
      </c>
      <c r="D26" s="510">
        <v>10</v>
      </c>
      <c r="E26" s="507">
        <v>22</v>
      </c>
      <c r="F26" s="503"/>
      <c r="G26" s="507"/>
      <c r="H26" s="500">
        <f t="shared" si="5"/>
        <v>32</v>
      </c>
      <c r="I26" s="500">
        <f t="shared" si="6"/>
        <v>30</v>
      </c>
      <c r="J26" s="507">
        <v>17</v>
      </c>
      <c r="K26" s="507"/>
      <c r="L26" s="512">
        <v>13</v>
      </c>
      <c r="M26" s="512"/>
      <c r="N26" s="504"/>
      <c r="O26" s="502"/>
      <c r="P26" s="502"/>
      <c r="Q26" s="502">
        <v>2</v>
      </c>
      <c r="R26" s="505">
        <f t="shared" si="7"/>
        <v>15</v>
      </c>
      <c r="S26" s="506">
        <f t="shared" si="8"/>
        <v>56.666666666666664</v>
      </c>
      <c r="T26" s="439">
        <f t="shared" si="3"/>
        <v>0</v>
      </c>
    </row>
    <row r="27" spans="1:20" s="440" customFormat="1" ht="25.5" customHeight="1">
      <c r="A27" s="482" t="s">
        <v>446</v>
      </c>
      <c r="B27" s="499" t="s">
        <v>447</v>
      </c>
      <c r="C27" s="500">
        <f>D27+E27</f>
        <v>25</v>
      </c>
      <c r="D27" s="510">
        <v>12</v>
      </c>
      <c r="E27" s="507">
        <v>13</v>
      </c>
      <c r="F27" s="503"/>
      <c r="G27" s="507"/>
      <c r="H27" s="500">
        <f>I27+Q27</f>
        <v>25</v>
      </c>
      <c r="I27" s="500">
        <f>SUM(J27:P27)</f>
        <v>25</v>
      </c>
      <c r="J27" s="507">
        <v>3</v>
      </c>
      <c r="K27" s="507"/>
      <c r="L27" s="512">
        <v>22</v>
      </c>
      <c r="M27" s="512"/>
      <c r="N27" s="513"/>
      <c r="O27" s="502"/>
      <c r="P27" s="502"/>
      <c r="Q27" s="502"/>
      <c r="R27" s="505">
        <f t="shared" si="7"/>
        <v>22</v>
      </c>
      <c r="S27" s="506">
        <f t="shared" si="8"/>
        <v>12</v>
      </c>
      <c r="T27" s="439">
        <f t="shared" si="3"/>
        <v>0</v>
      </c>
    </row>
    <row r="28" spans="1:20" s="414" customFormat="1" ht="25.5" customHeight="1">
      <c r="A28" s="482" t="s">
        <v>448</v>
      </c>
      <c r="B28" s="499" t="s">
        <v>449</v>
      </c>
      <c r="C28" s="500">
        <f>D28+E28</f>
        <v>46</v>
      </c>
      <c r="D28" s="510">
        <v>6</v>
      </c>
      <c r="E28" s="507">
        <v>40</v>
      </c>
      <c r="F28" s="503">
        <v>2</v>
      </c>
      <c r="G28" s="507"/>
      <c r="H28" s="500">
        <f>I28+Q28</f>
        <v>44</v>
      </c>
      <c r="I28" s="500">
        <f>SUM(J28:P28)</f>
        <v>43</v>
      </c>
      <c r="J28" s="507">
        <v>19</v>
      </c>
      <c r="K28" s="507">
        <v>1</v>
      </c>
      <c r="L28" s="512">
        <v>23</v>
      </c>
      <c r="M28" s="512"/>
      <c r="N28" s="513"/>
      <c r="O28" s="502"/>
      <c r="P28" s="502"/>
      <c r="Q28" s="502">
        <v>1</v>
      </c>
      <c r="R28" s="505">
        <f t="shared" si="7"/>
        <v>24</v>
      </c>
      <c r="S28" s="506">
        <f t="shared" si="8"/>
        <v>46.51162790697674</v>
      </c>
      <c r="T28" s="439">
        <f t="shared" si="3"/>
        <v>0</v>
      </c>
    </row>
    <row r="29" spans="1:20" s="414" customFormat="1" ht="25.5" customHeight="1">
      <c r="A29" s="482" t="s">
        <v>450</v>
      </c>
      <c r="B29" s="499" t="s">
        <v>451</v>
      </c>
      <c r="C29" s="500">
        <f t="shared" si="4"/>
        <v>48</v>
      </c>
      <c r="D29" s="514">
        <v>3</v>
      </c>
      <c r="E29" s="507">
        <v>45</v>
      </c>
      <c r="F29" s="503">
        <v>3</v>
      </c>
      <c r="G29" s="507"/>
      <c r="H29" s="500">
        <f t="shared" si="5"/>
        <v>45</v>
      </c>
      <c r="I29" s="500">
        <f t="shared" si="6"/>
        <v>45</v>
      </c>
      <c r="J29" s="507">
        <v>26</v>
      </c>
      <c r="K29" s="507"/>
      <c r="L29" s="512">
        <v>19</v>
      </c>
      <c r="M29" s="512"/>
      <c r="N29" s="504"/>
      <c r="O29" s="502"/>
      <c r="P29" s="502"/>
      <c r="Q29" s="502"/>
      <c r="R29" s="505">
        <f t="shared" si="7"/>
        <v>19</v>
      </c>
      <c r="S29" s="506">
        <f t="shared" si="8"/>
        <v>57.77777777777777</v>
      </c>
      <c r="T29" s="439">
        <f t="shared" si="3"/>
        <v>0</v>
      </c>
    </row>
    <row r="30" spans="1:20" s="440" customFormat="1" ht="25.5" customHeight="1">
      <c r="A30" s="436" t="s">
        <v>1</v>
      </c>
      <c r="B30" s="436" t="s">
        <v>452</v>
      </c>
      <c r="C30" s="437">
        <f aca="true" t="shared" si="9" ref="C30:R30">C31+C39+C44+C48+C51+C60+C75+C78+C83+C93+C97+C100+C109+C112+C66</f>
        <v>13482</v>
      </c>
      <c r="D30" s="617">
        <f t="shared" si="9"/>
        <v>8595</v>
      </c>
      <c r="E30" s="617">
        <f t="shared" si="9"/>
        <v>4887</v>
      </c>
      <c r="F30" s="617">
        <f t="shared" si="9"/>
        <v>131</v>
      </c>
      <c r="G30" s="617">
        <f t="shared" si="9"/>
        <v>2</v>
      </c>
      <c r="H30" s="437">
        <f t="shared" si="9"/>
        <v>13351</v>
      </c>
      <c r="I30" s="437">
        <f t="shared" si="9"/>
        <v>8351</v>
      </c>
      <c r="J30" s="617">
        <f t="shared" si="9"/>
        <v>3661</v>
      </c>
      <c r="K30" s="617">
        <f t="shared" si="9"/>
        <v>107</v>
      </c>
      <c r="L30" s="617">
        <f t="shared" si="9"/>
        <v>4393</v>
      </c>
      <c r="M30" s="617">
        <f t="shared" si="9"/>
        <v>140</v>
      </c>
      <c r="N30" s="617">
        <f t="shared" si="9"/>
        <v>2</v>
      </c>
      <c r="O30" s="617">
        <f t="shared" si="9"/>
        <v>0</v>
      </c>
      <c r="P30" s="617">
        <f t="shared" si="9"/>
        <v>48</v>
      </c>
      <c r="Q30" s="437">
        <f t="shared" si="9"/>
        <v>5000</v>
      </c>
      <c r="R30" s="437">
        <f t="shared" si="9"/>
        <v>9583</v>
      </c>
      <c r="S30" s="438">
        <f t="shared" si="2"/>
        <v>0.45120344868877976</v>
      </c>
      <c r="T30" s="439"/>
    </row>
    <row r="31" spans="1:20" s="414" customFormat="1" ht="25.5" customHeight="1">
      <c r="A31" s="407">
        <v>1</v>
      </c>
      <c r="B31" s="408" t="s">
        <v>453</v>
      </c>
      <c r="C31" s="415">
        <f>SUM(D31+E31)</f>
        <v>1130</v>
      </c>
      <c r="D31" s="416">
        <f>SUM(D32+D33+D34+D35+D36+D37+D38)</f>
        <v>597</v>
      </c>
      <c r="E31" s="416">
        <f>SUM(E32+E33+E34+E35+E36+E37+E38)</f>
        <v>533</v>
      </c>
      <c r="F31" s="416">
        <f>SUM(F32+F33+F34+F35+F36+F37+F38)</f>
        <v>10</v>
      </c>
      <c r="G31" s="416">
        <f>SUM(G32+G33+G34+G35+G36+G37+G38)</f>
        <v>0</v>
      </c>
      <c r="H31" s="415">
        <f>SUM(Q31+I31)</f>
        <v>1120</v>
      </c>
      <c r="I31" s="415">
        <f>SUM(L31+M31+N31+O31+P31+J31+K31)</f>
        <v>638</v>
      </c>
      <c r="J31" s="416">
        <f>SUM(J32+J33+J34+J35+J36+J37+J38)</f>
        <v>308</v>
      </c>
      <c r="K31" s="416">
        <f aca="true" t="shared" si="10" ref="K31:R31">SUM(K32+K33+K34+K35+K36+K37+K38)</f>
        <v>23</v>
      </c>
      <c r="L31" s="416">
        <f t="shared" si="10"/>
        <v>287</v>
      </c>
      <c r="M31" s="416">
        <f t="shared" si="10"/>
        <v>20</v>
      </c>
      <c r="N31" s="416">
        <f t="shared" si="10"/>
        <v>0</v>
      </c>
      <c r="O31" s="416">
        <f t="shared" si="10"/>
        <v>0</v>
      </c>
      <c r="P31" s="416">
        <f t="shared" si="10"/>
        <v>0</v>
      </c>
      <c r="Q31" s="415">
        <f>SUM(Q32:Q38)</f>
        <v>482</v>
      </c>
      <c r="R31" s="415">
        <f t="shared" si="10"/>
        <v>789</v>
      </c>
      <c r="S31" s="412">
        <f t="shared" si="2"/>
        <v>0.5188087774294671</v>
      </c>
      <c r="T31" s="413"/>
    </row>
    <row r="32" spans="1:20" s="414" customFormat="1" ht="25.5" customHeight="1">
      <c r="A32" s="443">
        <v>1.1</v>
      </c>
      <c r="B32" s="444" t="s">
        <v>454</v>
      </c>
      <c r="C32" s="441">
        <f aca="true" t="shared" si="11" ref="C32:C38">SUM(D32+E32)</f>
        <v>23</v>
      </c>
      <c r="D32" s="442">
        <v>14</v>
      </c>
      <c r="E32" s="442">
        <v>9</v>
      </c>
      <c r="F32" s="442">
        <v>1</v>
      </c>
      <c r="G32" s="442"/>
      <c r="H32" s="441">
        <f>I32+Q32</f>
        <v>22</v>
      </c>
      <c r="I32" s="441">
        <f>SUM(J32:P32)</f>
        <v>22</v>
      </c>
      <c r="J32" s="442">
        <v>22</v>
      </c>
      <c r="K32" s="442"/>
      <c r="L32" s="442">
        <v>0</v>
      </c>
      <c r="M32" s="442">
        <v>0</v>
      </c>
      <c r="N32" s="442">
        <v>0</v>
      </c>
      <c r="O32" s="442">
        <v>0</v>
      </c>
      <c r="P32" s="442">
        <v>0</v>
      </c>
      <c r="Q32" s="441">
        <v>0</v>
      </c>
      <c r="R32" s="441">
        <f>SUM(L32:Q32)</f>
        <v>0</v>
      </c>
      <c r="S32" s="438">
        <f t="shared" si="2"/>
        <v>1</v>
      </c>
      <c r="T32" s="439">
        <f t="shared" si="3"/>
        <v>0</v>
      </c>
    </row>
    <row r="33" spans="1:20" s="414" customFormat="1" ht="25.5" customHeight="1">
      <c r="A33" s="443">
        <v>1.2</v>
      </c>
      <c r="B33" s="444" t="s">
        <v>455</v>
      </c>
      <c r="C33" s="441">
        <f t="shared" si="11"/>
        <v>10</v>
      </c>
      <c r="D33" s="442">
        <v>1</v>
      </c>
      <c r="E33" s="442">
        <v>9</v>
      </c>
      <c r="F33" s="442">
        <v>0</v>
      </c>
      <c r="G33" s="442">
        <v>0</v>
      </c>
      <c r="H33" s="441">
        <f aca="true" t="shared" si="12" ref="H33:H38">I33+Q33</f>
        <v>10</v>
      </c>
      <c r="I33" s="441">
        <f aca="true" t="shared" si="13" ref="I33:I38">SUM(J33:P33)</f>
        <v>10</v>
      </c>
      <c r="J33" s="442">
        <v>7</v>
      </c>
      <c r="K33" s="442">
        <v>0</v>
      </c>
      <c r="L33" s="442">
        <v>3</v>
      </c>
      <c r="M33" s="442">
        <v>0</v>
      </c>
      <c r="N33" s="442">
        <v>0</v>
      </c>
      <c r="O33" s="442">
        <v>0</v>
      </c>
      <c r="P33" s="442">
        <v>0</v>
      </c>
      <c r="Q33" s="441">
        <v>0</v>
      </c>
      <c r="R33" s="441">
        <f aca="true" t="shared" si="14" ref="R33:R96">SUM(L33:Q33)</f>
        <v>3</v>
      </c>
      <c r="S33" s="438">
        <f t="shared" si="2"/>
        <v>0.7</v>
      </c>
      <c r="T33" s="439">
        <f t="shared" si="3"/>
        <v>0</v>
      </c>
    </row>
    <row r="34" spans="1:20" s="414" customFormat="1" ht="25.5" customHeight="1">
      <c r="A34" s="443">
        <v>1.3</v>
      </c>
      <c r="B34" s="444" t="s">
        <v>456</v>
      </c>
      <c r="C34" s="441">
        <f t="shared" si="11"/>
        <v>196</v>
      </c>
      <c r="D34" s="442">
        <v>106</v>
      </c>
      <c r="E34" s="442">
        <v>90</v>
      </c>
      <c r="F34" s="442">
        <v>3</v>
      </c>
      <c r="G34" s="442"/>
      <c r="H34" s="441">
        <f t="shared" si="12"/>
        <v>193</v>
      </c>
      <c r="I34" s="441">
        <f t="shared" si="13"/>
        <v>115</v>
      </c>
      <c r="J34" s="442">
        <v>67</v>
      </c>
      <c r="K34" s="442">
        <v>7</v>
      </c>
      <c r="L34" s="442">
        <v>41</v>
      </c>
      <c r="M34" s="442">
        <v>0</v>
      </c>
      <c r="N34" s="442"/>
      <c r="O34" s="442"/>
      <c r="P34" s="442">
        <v>0</v>
      </c>
      <c r="Q34" s="441">
        <v>78</v>
      </c>
      <c r="R34" s="441">
        <f t="shared" si="14"/>
        <v>119</v>
      </c>
      <c r="S34" s="438">
        <f t="shared" si="2"/>
        <v>0.6434782608695652</v>
      </c>
      <c r="T34" s="439">
        <f t="shared" si="3"/>
        <v>0</v>
      </c>
    </row>
    <row r="35" spans="1:20" s="414" customFormat="1" ht="25.5" customHeight="1">
      <c r="A35" s="443">
        <v>1.4</v>
      </c>
      <c r="B35" s="444" t="s">
        <v>457</v>
      </c>
      <c r="C35" s="441">
        <f t="shared" si="11"/>
        <v>304</v>
      </c>
      <c r="D35" s="442">
        <v>154</v>
      </c>
      <c r="E35" s="442">
        <v>150</v>
      </c>
      <c r="F35" s="442">
        <v>1</v>
      </c>
      <c r="G35" s="442"/>
      <c r="H35" s="441">
        <f t="shared" si="12"/>
        <v>303</v>
      </c>
      <c r="I35" s="441">
        <f t="shared" si="13"/>
        <v>158</v>
      </c>
      <c r="J35" s="442">
        <v>63</v>
      </c>
      <c r="K35" s="442">
        <v>2</v>
      </c>
      <c r="L35" s="442">
        <v>92</v>
      </c>
      <c r="M35" s="442">
        <v>1</v>
      </c>
      <c r="N35" s="442"/>
      <c r="O35" s="442">
        <v>0</v>
      </c>
      <c r="P35" s="442">
        <v>0</v>
      </c>
      <c r="Q35" s="441">
        <v>145</v>
      </c>
      <c r="R35" s="441">
        <f t="shared" si="14"/>
        <v>238</v>
      </c>
      <c r="S35" s="438">
        <f t="shared" si="2"/>
        <v>0.41139240506329117</v>
      </c>
      <c r="T35" s="439">
        <f t="shared" si="3"/>
        <v>0</v>
      </c>
    </row>
    <row r="36" spans="1:20" s="414" customFormat="1" ht="25.5" customHeight="1">
      <c r="A36" s="443">
        <v>1.5</v>
      </c>
      <c r="B36" s="444" t="s">
        <v>458</v>
      </c>
      <c r="C36" s="441">
        <f t="shared" si="11"/>
        <v>288</v>
      </c>
      <c r="D36" s="442">
        <v>151</v>
      </c>
      <c r="E36" s="442">
        <v>137</v>
      </c>
      <c r="F36" s="442">
        <v>3</v>
      </c>
      <c r="G36" s="442"/>
      <c r="H36" s="441">
        <f t="shared" si="12"/>
        <v>285</v>
      </c>
      <c r="I36" s="441">
        <f t="shared" si="13"/>
        <v>150</v>
      </c>
      <c r="J36" s="442">
        <v>96</v>
      </c>
      <c r="K36" s="442">
        <v>10</v>
      </c>
      <c r="L36" s="442">
        <v>44</v>
      </c>
      <c r="M36" s="442">
        <v>0</v>
      </c>
      <c r="N36" s="442"/>
      <c r="O36" s="442"/>
      <c r="P36" s="442">
        <v>0</v>
      </c>
      <c r="Q36" s="441">
        <v>135</v>
      </c>
      <c r="R36" s="441">
        <f t="shared" si="14"/>
        <v>179</v>
      </c>
      <c r="S36" s="438">
        <f t="shared" si="2"/>
        <v>0.7066666666666667</v>
      </c>
      <c r="T36" s="439">
        <f t="shared" si="3"/>
        <v>0</v>
      </c>
    </row>
    <row r="37" spans="1:20" s="414" customFormat="1" ht="25.5" customHeight="1">
      <c r="A37" s="443">
        <v>1.6</v>
      </c>
      <c r="B37" s="444" t="s">
        <v>459</v>
      </c>
      <c r="C37" s="441">
        <f t="shared" si="11"/>
        <v>168</v>
      </c>
      <c r="D37" s="442">
        <v>96</v>
      </c>
      <c r="E37" s="442">
        <v>72</v>
      </c>
      <c r="F37" s="442">
        <v>2</v>
      </c>
      <c r="G37" s="442"/>
      <c r="H37" s="441">
        <f t="shared" si="12"/>
        <v>166</v>
      </c>
      <c r="I37" s="441">
        <f t="shared" si="13"/>
        <v>104</v>
      </c>
      <c r="J37" s="442">
        <v>26</v>
      </c>
      <c r="K37" s="442">
        <v>4</v>
      </c>
      <c r="L37" s="442">
        <v>55</v>
      </c>
      <c r="M37" s="442">
        <v>19</v>
      </c>
      <c r="N37" s="442"/>
      <c r="O37" s="442"/>
      <c r="P37" s="442"/>
      <c r="Q37" s="441">
        <v>62</v>
      </c>
      <c r="R37" s="441">
        <f t="shared" si="14"/>
        <v>136</v>
      </c>
      <c r="S37" s="438">
        <f t="shared" si="2"/>
        <v>0.28846153846153844</v>
      </c>
      <c r="T37" s="439">
        <f t="shared" si="3"/>
        <v>0</v>
      </c>
    </row>
    <row r="38" spans="1:20" s="414" customFormat="1" ht="25.5" customHeight="1">
      <c r="A38" s="443">
        <v>1.6</v>
      </c>
      <c r="B38" s="444" t="s">
        <v>460</v>
      </c>
      <c r="C38" s="441">
        <f t="shared" si="11"/>
        <v>141</v>
      </c>
      <c r="D38" s="442">
        <v>75</v>
      </c>
      <c r="E38" s="442">
        <v>66</v>
      </c>
      <c r="F38" s="442">
        <v>0</v>
      </c>
      <c r="G38" s="442">
        <v>0</v>
      </c>
      <c r="H38" s="441">
        <f t="shared" si="12"/>
        <v>141</v>
      </c>
      <c r="I38" s="441">
        <f t="shared" si="13"/>
        <v>79</v>
      </c>
      <c r="J38" s="442">
        <v>27</v>
      </c>
      <c r="K38" s="442"/>
      <c r="L38" s="442">
        <v>52</v>
      </c>
      <c r="M38" s="442"/>
      <c r="N38" s="442"/>
      <c r="O38" s="442"/>
      <c r="P38" s="442"/>
      <c r="Q38" s="441">
        <v>62</v>
      </c>
      <c r="R38" s="441">
        <f t="shared" si="14"/>
        <v>114</v>
      </c>
      <c r="S38" s="438">
        <f t="shared" si="2"/>
        <v>0.34177215189873417</v>
      </c>
      <c r="T38" s="439">
        <f t="shared" si="3"/>
        <v>0</v>
      </c>
    </row>
    <row r="39" spans="1:20" s="414" customFormat="1" ht="23.25" customHeight="1">
      <c r="A39" s="407">
        <v>2</v>
      </c>
      <c r="B39" s="408" t="s">
        <v>461</v>
      </c>
      <c r="C39" s="409">
        <f>D39+E39</f>
        <v>414</v>
      </c>
      <c r="D39" s="410">
        <f>D43+D42+D41+D40</f>
        <v>164</v>
      </c>
      <c r="E39" s="410">
        <f>E43+E42+E41+E40</f>
        <v>250</v>
      </c>
      <c r="F39" s="410">
        <f>F43+F42+F41+F40</f>
        <v>2</v>
      </c>
      <c r="G39" s="410">
        <f>G43+G42+G41+G40</f>
        <v>0</v>
      </c>
      <c r="H39" s="409">
        <f aca="true" t="shared" si="15" ref="H39:H47">I39+Q39</f>
        <v>412</v>
      </c>
      <c r="I39" s="409">
        <f aca="true" t="shared" si="16" ref="I39:I47">J39+K39+L39+M39+N39+O39+P39</f>
        <v>263</v>
      </c>
      <c r="J39" s="410">
        <f>J43+J42+J41+J40</f>
        <v>217</v>
      </c>
      <c r="K39" s="410">
        <f aca="true" t="shared" si="17" ref="K39:P39">K43+K42+K41+K40</f>
        <v>8</v>
      </c>
      <c r="L39" s="410">
        <f t="shared" si="17"/>
        <v>37</v>
      </c>
      <c r="M39" s="410">
        <f t="shared" si="17"/>
        <v>0</v>
      </c>
      <c r="N39" s="410">
        <f t="shared" si="17"/>
        <v>0</v>
      </c>
      <c r="O39" s="410">
        <f t="shared" si="17"/>
        <v>0</v>
      </c>
      <c r="P39" s="410">
        <f t="shared" si="17"/>
        <v>1</v>
      </c>
      <c r="Q39" s="411">
        <f>Q40+Q41+Q42+Q43</f>
        <v>149</v>
      </c>
      <c r="R39" s="415">
        <f t="shared" si="14"/>
        <v>187</v>
      </c>
      <c r="S39" s="412">
        <f t="shared" si="2"/>
        <v>0.8555133079847909</v>
      </c>
      <c r="T39" s="413">
        <f t="shared" si="3"/>
        <v>0</v>
      </c>
    </row>
    <row r="40" spans="1:20" s="414" customFormat="1" ht="23.25" customHeight="1">
      <c r="A40" s="443">
        <v>2.1</v>
      </c>
      <c r="B40" s="448" t="s">
        <v>462</v>
      </c>
      <c r="C40" s="445">
        <f>D40+E40</f>
        <v>71</v>
      </c>
      <c r="D40" s="446"/>
      <c r="E40" s="446">
        <v>71</v>
      </c>
      <c r="F40" s="446"/>
      <c r="G40" s="446"/>
      <c r="H40" s="445">
        <f t="shared" si="15"/>
        <v>71</v>
      </c>
      <c r="I40" s="445">
        <f t="shared" si="16"/>
        <v>71</v>
      </c>
      <c r="J40" s="446">
        <v>71</v>
      </c>
      <c r="K40" s="446"/>
      <c r="L40" s="446">
        <v>0</v>
      </c>
      <c r="M40" s="446"/>
      <c r="N40" s="446"/>
      <c r="O40" s="446"/>
      <c r="P40" s="449"/>
      <c r="Q40" s="447"/>
      <c r="R40" s="441">
        <f t="shared" si="14"/>
        <v>0</v>
      </c>
      <c r="S40" s="438">
        <f t="shared" si="2"/>
        <v>1</v>
      </c>
      <c r="T40" s="439">
        <f t="shared" si="3"/>
        <v>0</v>
      </c>
    </row>
    <row r="41" spans="1:20" s="414" customFormat="1" ht="23.25" customHeight="1">
      <c r="A41" s="443">
        <v>2.2</v>
      </c>
      <c r="B41" s="448" t="s">
        <v>463</v>
      </c>
      <c r="C41" s="445">
        <f>D41+E41</f>
        <v>101</v>
      </c>
      <c r="D41" s="446">
        <v>39</v>
      </c>
      <c r="E41" s="446">
        <v>62</v>
      </c>
      <c r="F41" s="446">
        <v>1</v>
      </c>
      <c r="G41" s="446"/>
      <c r="H41" s="445">
        <f t="shared" si="15"/>
        <v>100</v>
      </c>
      <c r="I41" s="445">
        <f t="shared" si="16"/>
        <v>66</v>
      </c>
      <c r="J41" s="446">
        <v>51</v>
      </c>
      <c r="K41" s="446">
        <v>4</v>
      </c>
      <c r="L41" s="446">
        <v>11</v>
      </c>
      <c r="M41" s="446"/>
      <c r="N41" s="446"/>
      <c r="O41" s="446"/>
      <c r="P41" s="449">
        <v>0</v>
      </c>
      <c r="Q41" s="447">
        <v>34</v>
      </c>
      <c r="R41" s="441">
        <f t="shared" si="14"/>
        <v>45</v>
      </c>
      <c r="S41" s="438">
        <f t="shared" si="2"/>
        <v>0.8333333333333334</v>
      </c>
      <c r="T41" s="439">
        <f t="shared" si="3"/>
        <v>0</v>
      </c>
    </row>
    <row r="42" spans="1:20" s="414" customFormat="1" ht="23.25" customHeight="1">
      <c r="A42" s="443">
        <v>2.3</v>
      </c>
      <c r="B42" s="448" t="s">
        <v>464</v>
      </c>
      <c r="C42" s="445">
        <f>D42+E42</f>
        <v>118</v>
      </c>
      <c r="D42" s="446">
        <v>62</v>
      </c>
      <c r="E42" s="446">
        <v>56</v>
      </c>
      <c r="F42" s="446"/>
      <c r="G42" s="446"/>
      <c r="H42" s="445">
        <f t="shared" si="15"/>
        <v>118</v>
      </c>
      <c r="I42" s="445">
        <f t="shared" si="16"/>
        <v>61</v>
      </c>
      <c r="J42" s="446">
        <v>44</v>
      </c>
      <c r="K42" s="446">
        <v>1</v>
      </c>
      <c r="L42" s="446">
        <v>15</v>
      </c>
      <c r="M42" s="446"/>
      <c r="N42" s="446"/>
      <c r="O42" s="446"/>
      <c r="P42" s="449">
        <v>1</v>
      </c>
      <c r="Q42" s="447">
        <v>57</v>
      </c>
      <c r="R42" s="441">
        <f t="shared" si="14"/>
        <v>73</v>
      </c>
      <c r="S42" s="438">
        <f t="shared" si="2"/>
        <v>0.7377049180327869</v>
      </c>
      <c r="T42" s="439">
        <f t="shared" si="3"/>
        <v>0</v>
      </c>
    </row>
    <row r="43" spans="1:20" s="414" customFormat="1" ht="23.25" customHeight="1">
      <c r="A43" s="443">
        <v>2.4</v>
      </c>
      <c r="B43" s="448" t="s">
        <v>465</v>
      </c>
      <c r="C43" s="445">
        <f>D43+E43</f>
        <v>124</v>
      </c>
      <c r="D43" s="446">
        <v>63</v>
      </c>
      <c r="E43" s="446">
        <v>61</v>
      </c>
      <c r="F43" s="446">
        <v>1</v>
      </c>
      <c r="G43" s="446"/>
      <c r="H43" s="445">
        <f t="shared" si="15"/>
        <v>123</v>
      </c>
      <c r="I43" s="445">
        <f t="shared" si="16"/>
        <v>65</v>
      </c>
      <c r="J43" s="446">
        <v>51</v>
      </c>
      <c r="K43" s="446">
        <v>3</v>
      </c>
      <c r="L43" s="446">
        <v>11</v>
      </c>
      <c r="M43" s="446"/>
      <c r="N43" s="446"/>
      <c r="O43" s="446"/>
      <c r="P43" s="449"/>
      <c r="Q43" s="447">
        <v>58</v>
      </c>
      <c r="R43" s="441">
        <f t="shared" si="14"/>
        <v>69</v>
      </c>
      <c r="S43" s="438">
        <f t="shared" si="2"/>
        <v>0.8307692307692308</v>
      </c>
      <c r="T43" s="439">
        <f t="shared" si="3"/>
        <v>0</v>
      </c>
    </row>
    <row r="44" spans="1:20" s="414" customFormat="1" ht="23.25" customHeight="1">
      <c r="A44" s="407">
        <v>3</v>
      </c>
      <c r="B44" s="408" t="s">
        <v>466</v>
      </c>
      <c r="C44" s="409">
        <f>C45+C46+C47</f>
        <v>287</v>
      </c>
      <c r="D44" s="409">
        <f aca="true" t="shared" si="18" ref="D44:Q44">D45+D46+D47</f>
        <v>138</v>
      </c>
      <c r="E44" s="409">
        <f t="shared" si="18"/>
        <v>149</v>
      </c>
      <c r="F44" s="409">
        <f t="shared" si="18"/>
        <v>2</v>
      </c>
      <c r="G44" s="409">
        <f t="shared" si="18"/>
        <v>0</v>
      </c>
      <c r="H44" s="409">
        <f t="shared" si="15"/>
        <v>285</v>
      </c>
      <c r="I44" s="409">
        <f t="shared" si="16"/>
        <v>212</v>
      </c>
      <c r="J44" s="409">
        <f t="shared" si="18"/>
        <v>91</v>
      </c>
      <c r="K44" s="409">
        <f t="shared" si="18"/>
        <v>4</v>
      </c>
      <c r="L44" s="409">
        <f t="shared" si="18"/>
        <v>115</v>
      </c>
      <c r="M44" s="409">
        <f t="shared" si="18"/>
        <v>0</v>
      </c>
      <c r="N44" s="409">
        <f t="shared" si="18"/>
        <v>1</v>
      </c>
      <c r="O44" s="409">
        <f t="shared" si="18"/>
        <v>0</v>
      </c>
      <c r="P44" s="409">
        <f t="shared" si="18"/>
        <v>1</v>
      </c>
      <c r="Q44" s="409">
        <f t="shared" si="18"/>
        <v>73</v>
      </c>
      <c r="R44" s="415">
        <f t="shared" si="14"/>
        <v>190</v>
      </c>
      <c r="S44" s="412">
        <f t="shared" si="2"/>
        <v>0.4481132075471698</v>
      </c>
      <c r="T44" s="413">
        <f t="shared" si="3"/>
        <v>0</v>
      </c>
    </row>
    <row r="45" spans="1:20" s="414" customFormat="1" ht="23.25" customHeight="1">
      <c r="A45" s="443">
        <v>3.1</v>
      </c>
      <c r="B45" s="443" t="s">
        <v>467</v>
      </c>
      <c r="C45" s="445">
        <f>D45+E45</f>
        <v>52</v>
      </c>
      <c r="D45" s="446">
        <v>13</v>
      </c>
      <c r="E45" s="446">
        <v>39</v>
      </c>
      <c r="F45" s="446">
        <v>1</v>
      </c>
      <c r="G45" s="446">
        <v>0</v>
      </c>
      <c r="H45" s="445">
        <f t="shared" si="15"/>
        <v>51</v>
      </c>
      <c r="I45" s="445">
        <f t="shared" si="16"/>
        <v>45</v>
      </c>
      <c r="J45" s="446">
        <v>33</v>
      </c>
      <c r="K45" s="446">
        <v>0</v>
      </c>
      <c r="L45" s="446">
        <v>11</v>
      </c>
      <c r="M45" s="446">
        <v>0</v>
      </c>
      <c r="N45" s="446">
        <v>0</v>
      </c>
      <c r="O45" s="446">
        <v>0</v>
      </c>
      <c r="P45" s="449">
        <v>1</v>
      </c>
      <c r="Q45" s="447">
        <v>6</v>
      </c>
      <c r="R45" s="441">
        <f t="shared" si="14"/>
        <v>18</v>
      </c>
      <c r="S45" s="438">
        <f t="shared" si="2"/>
        <v>0.7333333333333333</v>
      </c>
      <c r="T45" s="439">
        <f t="shared" si="3"/>
        <v>0</v>
      </c>
    </row>
    <row r="46" spans="1:20" s="414" customFormat="1" ht="23.25" customHeight="1">
      <c r="A46" s="443">
        <v>3.2</v>
      </c>
      <c r="B46" s="443" t="s">
        <v>468</v>
      </c>
      <c r="C46" s="445">
        <f>D46+E46</f>
        <v>115</v>
      </c>
      <c r="D46" s="446">
        <v>78</v>
      </c>
      <c r="E46" s="446">
        <v>37</v>
      </c>
      <c r="F46" s="446">
        <v>1</v>
      </c>
      <c r="G46" s="446">
        <v>0</v>
      </c>
      <c r="H46" s="445">
        <f t="shared" si="15"/>
        <v>114</v>
      </c>
      <c r="I46" s="445">
        <f t="shared" si="16"/>
        <v>65</v>
      </c>
      <c r="J46" s="446">
        <v>30</v>
      </c>
      <c r="K46" s="446">
        <v>1</v>
      </c>
      <c r="L46" s="446">
        <v>34</v>
      </c>
      <c r="M46" s="446">
        <v>0</v>
      </c>
      <c r="N46" s="446">
        <v>0</v>
      </c>
      <c r="O46" s="446"/>
      <c r="P46" s="449">
        <v>0</v>
      </c>
      <c r="Q46" s="447">
        <v>49</v>
      </c>
      <c r="R46" s="441">
        <f t="shared" si="14"/>
        <v>83</v>
      </c>
      <c r="S46" s="438">
        <f t="shared" si="2"/>
        <v>0.47692307692307695</v>
      </c>
      <c r="T46" s="439">
        <f t="shared" si="3"/>
        <v>0</v>
      </c>
    </row>
    <row r="47" spans="1:20" s="414" customFormat="1" ht="23.25" customHeight="1">
      <c r="A47" s="443">
        <v>3.3</v>
      </c>
      <c r="B47" s="443" t="s">
        <v>469</v>
      </c>
      <c r="C47" s="445">
        <f>D47+E47</f>
        <v>120</v>
      </c>
      <c r="D47" s="446">
        <v>47</v>
      </c>
      <c r="E47" s="446">
        <v>73</v>
      </c>
      <c r="F47" s="446">
        <v>0</v>
      </c>
      <c r="G47" s="446">
        <v>0</v>
      </c>
      <c r="H47" s="445">
        <f t="shared" si="15"/>
        <v>120</v>
      </c>
      <c r="I47" s="445">
        <f t="shared" si="16"/>
        <v>102</v>
      </c>
      <c r="J47" s="446">
        <v>28</v>
      </c>
      <c r="K47" s="446">
        <v>3</v>
      </c>
      <c r="L47" s="446">
        <v>70</v>
      </c>
      <c r="M47" s="446">
        <v>0</v>
      </c>
      <c r="N47" s="446">
        <v>1</v>
      </c>
      <c r="O47" s="446">
        <v>0</v>
      </c>
      <c r="P47" s="449">
        <v>0</v>
      </c>
      <c r="Q47" s="447">
        <v>18</v>
      </c>
      <c r="R47" s="441">
        <f t="shared" si="14"/>
        <v>89</v>
      </c>
      <c r="S47" s="438">
        <f t="shared" si="2"/>
        <v>0.30392156862745096</v>
      </c>
      <c r="T47" s="439">
        <f t="shared" si="3"/>
        <v>0</v>
      </c>
    </row>
    <row r="48" spans="1:20" s="414" customFormat="1" ht="23.25" customHeight="1">
      <c r="A48" s="407">
        <v>4</v>
      </c>
      <c r="B48" s="408" t="s">
        <v>470</v>
      </c>
      <c r="C48" s="426">
        <v>0</v>
      </c>
      <c r="D48" s="426"/>
      <c r="E48" s="430"/>
      <c r="F48" s="430"/>
      <c r="G48" s="430"/>
      <c r="H48" s="426"/>
      <c r="I48" s="426"/>
      <c r="J48" s="430"/>
      <c r="K48" s="430"/>
      <c r="L48" s="430"/>
      <c r="M48" s="430"/>
      <c r="N48" s="430"/>
      <c r="O48" s="430"/>
      <c r="P48" s="430"/>
      <c r="Q48" s="426"/>
      <c r="R48" s="415">
        <f t="shared" si="14"/>
        <v>0</v>
      </c>
      <c r="S48" s="412" t="e">
        <f t="shared" si="2"/>
        <v>#DIV/0!</v>
      </c>
      <c r="T48" s="413">
        <f t="shared" si="3"/>
        <v>0</v>
      </c>
    </row>
    <row r="49" spans="1:20" s="414" customFormat="1" ht="23.25" customHeight="1">
      <c r="A49" s="450" t="s">
        <v>111</v>
      </c>
      <c r="B49" s="451" t="s">
        <v>471</v>
      </c>
      <c r="C49" s="437"/>
      <c r="D49" s="437"/>
      <c r="E49" s="452"/>
      <c r="F49" s="452"/>
      <c r="G49" s="452"/>
      <c r="H49" s="437"/>
      <c r="I49" s="437"/>
      <c r="J49" s="452"/>
      <c r="K49" s="452"/>
      <c r="L49" s="453"/>
      <c r="M49" s="453"/>
      <c r="N49" s="453"/>
      <c r="O49" s="454"/>
      <c r="P49" s="454"/>
      <c r="Q49" s="455"/>
      <c r="R49" s="441">
        <f t="shared" si="14"/>
        <v>0</v>
      </c>
      <c r="S49" s="438" t="e">
        <f t="shared" si="2"/>
        <v>#DIV/0!</v>
      </c>
      <c r="T49" s="439">
        <f t="shared" si="3"/>
        <v>0</v>
      </c>
    </row>
    <row r="50" spans="1:20" s="414" customFormat="1" ht="23.25" customHeight="1">
      <c r="A50" s="450" t="s">
        <v>112</v>
      </c>
      <c r="B50" s="451" t="s">
        <v>472</v>
      </c>
      <c r="C50" s="437"/>
      <c r="D50" s="437"/>
      <c r="E50" s="452"/>
      <c r="F50" s="452"/>
      <c r="G50" s="452"/>
      <c r="H50" s="437"/>
      <c r="I50" s="437"/>
      <c r="J50" s="452"/>
      <c r="K50" s="452"/>
      <c r="L50" s="453"/>
      <c r="M50" s="453"/>
      <c r="N50" s="453"/>
      <c r="O50" s="454"/>
      <c r="P50" s="454"/>
      <c r="Q50" s="455"/>
      <c r="R50" s="441">
        <f t="shared" si="14"/>
        <v>0</v>
      </c>
      <c r="S50" s="438" t="e">
        <f t="shared" si="2"/>
        <v>#DIV/0!</v>
      </c>
      <c r="T50" s="439">
        <f t="shared" si="3"/>
        <v>0</v>
      </c>
    </row>
    <row r="51" spans="1:21" s="414" customFormat="1" ht="23.25" customHeight="1">
      <c r="A51" s="407">
        <v>5</v>
      </c>
      <c r="B51" s="408" t="s">
        <v>473</v>
      </c>
      <c r="C51" s="433">
        <f>C52+C53+C54+C55+C56+C57+C58+C59</f>
        <v>2654</v>
      </c>
      <c r="D51" s="434">
        <f aca="true" t="shared" si="19" ref="D51:Q51">D52+D53+D54+D55+D56+D57+D58+D59</f>
        <v>2021</v>
      </c>
      <c r="E51" s="434">
        <f t="shared" si="19"/>
        <v>633</v>
      </c>
      <c r="F51" s="434">
        <f t="shared" si="19"/>
        <v>43</v>
      </c>
      <c r="G51" s="434">
        <f t="shared" si="19"/>
        <v>2</v>
      </c>
      <c r="H51" s="433">
        <f t="shared" si="19"/>
        <v>2611</v>
      </c>
      <c r="I51" s="433">
        <f t="shared" si="19"/>
        <v>1123</v>
      </c>
      <c r="J51" s="434">
        <f t="shared" si="19"/>
        <v>468</v>
      </c>
      <c r="K51" s="434">
        <f t="shared" si="19"/>
        <v>1</v>
      </c>
      <c r="L51" s="434">
        <f t="shared" si="19"/>
        <v>653</v>
      </c>
      <c r="M51" s="434">
        <f t="shared" si="19"/>
        <v>0</v>
      </c>
      <c r="N51" s="434">
        <f t="shared" si="19"/>
        <v>1</v>
      </c>
      <c r="O51" s="434">
        <f t="shared" si="19"/>
        <v>0</v>
      </c>
      <c r="P51" s="434">
        <f t="shared" si="19"/>
        <v>0</v>
      </c>
      <c r="Q51" s="433">
        <f t="shared" si="19"/>
        <v>1488</v>
      </c>
      <c r="R51" s="423">
        <f t="shared" si="14"/>
        <v>2142</v>
      </c>
      <c r="S51" s="412">
        <f t="shared" si="2"/>
        <v>0.41763134461264473</v>
      </c>
      <c r="T51" s="413"/>
      <c r="U51" s="620">
        <f>R51+I51-H51</f>
        <v>654</v>
      </c>
    </row>
    <row r="52" spans="1:20" s="414" customFormat="1" ht="23.25" customHeight="1">
      <c r="A52" s="448" t="s">
        <v>113</v>
      </c>
      <c r="B52" s="458" t="s">
        <v>474</v>
      </c>
      <c r="C52" s="456">
        <f>D52+E52</f>
        <v>77</v>
      </c>
      <c r="D52" s="459">
        <v>3</v>
      </c>
      <c r="E52" s="457">
        <v>74</v>
      </c>
      <c r="F52" s="457">
        <v>0</v>
      </c>
      <c r="G52" s="457">
        <v>0</v>
      </c>
      <c r="H52" s="456">
        <f>I52+Q52</f>
        <v>77</v>
      </c>
      <c r="I52" s="456">
        <f>J52+K52+L52+M52+N52+O52+P52</f>
        <v>77</v>
      </c>
      <c r="J52" s="457">
        <v>69</v>
      </c>
      <c r="K52" s="457">
        <v>0</v>
      </c>
      <c r="L52" s="460">
        <v>8</v>
      </c>
      <c r="M52" s="457">
        <v>0</v>
      </c>
      <c r="N52" s="457">
        <v>0</v>
      </c>
      <c r="O52" s="457">
        <v>0</v>
      </c>
      <c r="P52" s="457">
        <v>0</v>
      </c>
      <c r="Q52" s="461">
        <v>0</v>
      </c>
      <c r="R52" s="481">
        <f t="shared" si="14"/>
        <v>8</v>
      </c>
      <c r="S52" s="438">
        <f t="shared" si="2"/>
        <v>0.8961038961038961</v>
      </c>
      <c r="T52" s="439">
        <f t="shared" si="3"/>
        <v>0</v>
      </c>
    </row>
    <row r="53" spans="1:20" s="414" customFormat="1" ht="23.25" customHeight="1">
      <c r="A53" s="448" t="s">
        <v>114</v>
      </c>
      <c r="B53" s="458" t="s">
        <v>475</v>
      </c>
      <c r="C53" s="456">
        <f>D53+E53</f>
        <v>884</v>
      </c>
      <c r="D53" s="459">
        <f>317+187-2+141-7+125-53</f>
        <v>708</v>
      </c>
      <c r="E53" s="457">
        <v>176</v>
      </c>
      <c r="F53" s="457">
        <v>10</v>
      </c>
      <c r="G53" s="457">
        <v>2</v>
      </c>
      <c r="H53" s="456">
        <f>I53+Q53</f>
        <v>874</v>
      </c>
      <c r="I53" s="456">
        <f>J53+K53+L53+M53+N53+O53+P53</f>
        <v>265</v>
      </c>
      <c r="J53" s="457">
        <v>115</v>
      </c>
      <c r="K53" s="457">
        <v>0</v>
      </c>
      <c r="L53" s="460">
        <v>150</v>
      </c>
      <c r="M53" s="457">
        <v>0</v>
      </c>
      <c r="N53" s="457">
        <v>0</v>
      </c>
      <c r="O53" s="457">
        <v>0</v>
      </c>
      <c r="P53" s="457">
        <v>0</v>
      </c>
      <c r="Q53" s="461">
        <f>170+164+150+125</f>
        <v>609</v>
      </c>
      <c r="R53" s="481">
        <f t="shared" si="14"/>
        <v>759</v>
      </c>
      <c r="S53" s="438">
        <f t="shared" si="2"/>
        <v>0.4339622641509434</v>
      </c>
      <c r="T53" s="439">
        <f t="shared" si="3"/>
        <v>0</v>
      </c>
    </row>
    <row r="54" spans="1:20" s="414" customFormat="1" ht="23.25" customHeight="1">
      <c r="A54" s="448" t="s">
        <v>115</v>
      </c>
      <c r="B54" s="458" t="s">
        <v>476</v>
      </c>
      <c r="C54" s="456">
        <f aca="true" t="shared" si="20" ref="C54:C59">D54+E54</f>
        <v>672</v>
      </c>
      <c r="D54" s="459">
        <f>253+251</f>
        <v>504</v>
      </c>
      <c r="E54" s="457">
        <v>168</v>
      </c>
      <c r="F54" s="457">
        <v>22</v>
      </c>
      <c r="G54" s="457">
        <v>0</v>
      </c>
      <c r="H54" s="456">
        <f aca="true" t="shared" si="21" ref="H54:H59">I54+Q54</f>
        <v>650</v>
      </c>
      <c r="I54" s="456">
        <f aca="true" t="shared" si="22" ref="I54:I59">J54+K54+L54+M54+N54+O54+P54</f>
        <v>331</v>
      </c>
      <c r="J54" s="457">
        <v>81</v>
      </c>
      <c r="K54" s="457">
        <v>1</v>
      </c>
      <c r="L54" s="460">
        <v>248</v>
      </c>
      <c r="M54" s="457">
        <v>0</v>
      </c>
      <c r="N54" s="457">
        <v>1</v>
      </c>
      <c r="O54" s="457">
        <v>0</v>
      </c>
      <c r="P54" s="457">
        <v>0</v>
      </c>
      <c r="Q54" s="461">
        <v>319</v>
      </c>
      <c r="R54" s="481">
        <f t="shared" si="14"/>
        <v>568</v>
      </c>
      <c r="S54" s="438">
        <f t="shared" si="2"/>
        <v>0.24773413897280966</v>
      </c>
      <c r="T54" s="439">
        <f t="shared" si="3"/>
        <v>0</v>
      </c>
    </row>
    <row r="55" spans="1:20" s="414" customFormat="1" ht="23.25" customHeight="1">
      <c r="A55" s="448" t="s">
        <v>477</v>
      </c>
      <c r="B55" s="458" t="s">
        <v>478</v>
      </c>
      <c r="C55" s="456">
        <f t="shared" si="20"/>
        <v>92</v>
      </c>
      <c r="D55" s="459">
        <v>53</v>
      </c>
      <c r="E55" s="457">
        <v>39</v>
      </c>
      <c r="F55" s="457">
        <v>5</v>
      </c>
      <c r="G55" s="457">
        <v>0</v>
      </c>
      <c r="H55" s="456">
        <f t="shared" si="21"/>
        <v>87</v>
      </c>
      <c r="I55" s="456">
        <f t="shared" si="22"/>
        <v>72</v>
      </c>
      <c r="J55" s="457">
        <v>51</v>
      </c>
      <c r="K55" s="457">
        <v>0</v>
      </c>
      <c r="L55" s="460">
        <v>21</v>
      </c>
      <c r="M55" s="457">
        <v>0</v>
      </c>
      <c r="N55" s="457">
        <v>0</v>
      </c>
      <c r="O55" s="457">
        <v>0</v>
      </c>
      <c r="P55" s="457">
        <v>0</v>
      </c>
      <c r="Q55" s="461">
        <v>15</v>
      </c>
      <c r="R55" s="481">
        <f t="shared" si="14"/>
        <v>36</v>
      </c>
      <c r="S55" s="438">
        <f t="shared" si="2"/>
        <v>0.7083333333333334</v>
      </c>
      <c r="T55" s="439">
        <f t="shared" si="3"/>
        <v>0</v>
      </c>
    </row>
    <row r="56" spans="1:20" s="414" customFormat="1" ht="23.25" customHeight="1">
      <c r="A56" s="448" t="s">
        <v>479</v>
      </c>
      <c r="B56" s="458" t="s">
        <v>480</v>
      </c>
      <c r="C56" s="456">
        <f>D56+E56</f>
        <v>395</v>
      </c>
      <c r="D56" s="459">
        <v>341</v>
      </c>
      <c r="E56" s="457">
        <v>54</v>
      </c>
      <c r="F56" s="457">
        <v>0</v>
      </c>
      <c r="G56" s="457">
        <v>0</v>
      </c>
      <c r="H56" s="456">
        <f t="shared" si="21"/>
        <v>395</v>
      </c>
      <c r="I56" s="456">
        <f t="shared" si="22"/>
        <v>145</v>
      </c>
      <c r="J56" s="457">
        <v>52</v>
      </c>
      <c r="K56" s="457">
        <v>0</v>
      </c>
      <c r="L56" s="460">
        <v>93</v>
      </c>
      <c r="M56" s="457">
        <v>0</v>
      </c>
      <c r="N56" s="457">
        <v>0</v>
      </c>
      <c r="O56" s="457">
        <v>0</v>
      </c>
      <c r="P56" s="457">
        <v>0</v>
      </c>
      <c r="Q56" s="461">
        <v>250</v>
      </c>
      <c r="R56" s="481">
        <f t="shared" si="14"/>
        <v>343</v>
      </c>
      <c r="S56" s="438">
        <f t="shared" si="2"/>
        <v>0.3586206896551724</v>
      </c>
      <c r="T56" s="439">
        <f t="shared" si="3"/>
        <v>0</v>
      </c>
    </row>
    <row r="57" spans="1:20" s="414" customFormat="1" ht="23.25" customHeight="1">
      <c r="A57" s="448" t="s">
        <v>481</v>
      </c>
      <c r="B57" s="458" t="s">
        <v>482</v>
      </c>
      <c r="C57" s="456">
        <f t="shared" si="20"/>
        <v>111</v>
      </c>
      <c r="D57" s="459">
        <v>66</v>
      </c>
      <c r="E57" s="457">
        <v>45</v>
      </c>
      <c r="F57" s="457">
        <v>0</v>
      </c>
      <c r="G57" s="457">
        <v>0</v>
      </c>
      <c r="H57" s="456">
        <f t="shared" si="21"/>
        <v>111</v>
      </c>
      <c r="I57" s="456">
        <f>J57+K57+L57+M57+N57+O57+P57</f>
        <v>96</v>
      </c>
      <c r="J57" s="457">
        <v>43</v>
      </c>
      <c r="K57" s="457">
        <v>0</v>
      </c>
      <c r="L57" s="460">
        <v>53</v>
      </c>
      <c r="M57" s="457">
        <v>0</v>
      </c>
      <c r="N57" s="457">
        <v>0</v>
      </c>
      <c r="O57" s="457">
        <v>0</v>
      </c>
      <c r="P57" s="457">
        <v>0</v>
      </c>
      <c r="Q57" s="461">
        <v>15</v>
      </c>
      <c r="R57" s="481">
        <f t="shared" si="14"/>
        <v>68</v>
      </c>
      <c r="S57" s="438">
        <f t="shared" si="2"/>
        <v>0.4479166666666667</v>
      </c>
      <c r="T57" s="439">
        <f t="shared" si="3"/>
        <v>0</v>
      </c>
    </row>
    <row r="58" spans="1:20" s="414" customFormat="1" ht="23.25" customHeight="1">
      <c r="A58" s="448" t="s">
        <v>483</v>
      </c>
      <c r="B58" s="458" t="s">
        <v>484</v>
      </c>
      <c r="C58" s="456">
        <f t="shared" si="20"/>
        <v>400</v>
      </c>
      <c r="D58" s="459">
        <v>339</v>
      </c>
      <c r="E58" s="457">
        <v>61</v>
      </c>
      <c r="F58" s="457">
        <v>6</v>
      </c>
      <c r="G58" s="457">
        <v>0</v>
      </c>
      <c r="H58" s="456">
        <f t="shared" si="21"/>
        <v>394</v>
      </c>
      <c r="I58" s="456">
        <f t="shared" si="22"/>
        <v>114</v>
      </c>
      <c r="J58" s="457">
        <v>47</v>
      </c>
      <c r="K58" s="457">
        <v>0</v>
      </c>
      <c r="L58" s="460">
        <v>67</v>
      </c>
      <c r="M58" s="457">
        <v>0</v>
      </c>
      <c r="N58" s="457">
        <v>0</v>
      </c>
      <c r="O58" s="457">
        <v>0</v>
      </c>
      <c r="P58" s="457">
        <v>0</v>
      </c>
      <c r="Q58" s="461">
        <v>280</v>
      </c>
      <c r="R58" s="481">
        <f t="shared" si="14"/>
        <v>347</v>
      </c>
      <c r="S58" s="438">
        <f t="shared" si="2"/>
        <v>0.41228070175438597</v>
      </c>
      <c r="T58" s="439">
        <f t="shared" si="3"/>
        <v>0</v>
      </c>
    </row>
    <row r="59" spans="1:20" s="414" customFormat="1" ht="23.25" customHeight="1">
      <c r="A59" s="448" t="s">
        <v>485</v>
      </c>
      <c r="B59" s="458" t="s">
        <v>486</v>
      </c>
      <c r="C59" s="456">
        <f t="shared" si="20"/>
        <v>23</v>
      </c>
      <c r="D59" s="459">
        <v>7</v>
      </c>
      <c r="E59" s="457">
        <v>16</v>
      </c>
      <c r="F59" s="457" t="s">
        <v>427</v>
      </c>
      <c r="G59" s="457" t="s">
        <v>427</v>
      </c>
      <c r="H59" s="456">
        <f t="shared" si="21"/>
        <v>23</v>
      </c>
      <c r="I59" s="456">
        <f t="shared" si="22"/>
        <v>23</v>
      </c>
      <c r="J59" s="457">
        <v>10</v>
      </c>
      <c r="K59" s="457" t="s">
        <v>427</v>
      </c>
      <c r="L59" s="460">
        <v>13</v>
      </c>
      <c r="M59" s="457" t="s">
        <v>427</v>
      </c>
      <c r="N59" s="457" t="s">
        <v>427</v>
      </c>
      <c r="O59" s="457" t="s">
        <v>427</v>
      </c>
      <c r="P59" s="457" t="s">
        <v>427</v>
      </c>
      <c r="Q59" s="456">
        <v>0</v>
      </c>
      <c r="R59" s="481">
        <f t="shared" si="14"/>
        <v>13</v>
      </c>
      <c r="S59" s="438">
        <f t="shared" si="2"/>
        <v>0.43478260869565216</v>
      </c>
      <c r="T59" s="439">
        <f t="shared" si="3"/>
        <v>0</v>
      </c>
    </row>
    <row r="60" spans="1:20" s="414" customFormat="1" ht="23.25" customHeight="1">
      <c r="A60" s="407">
        <v>6</v>
      </c>
      <c r="B60" s="408" t="s">
        <v>487</v>
      </c>
      <c r="C60" s="409">
        <f>C61+C62+C63+C64+C65</f>
        <v>569</v>
      </c>
      <c r="D60" s="409">
        <f aca="true" t="shared" si="23" ref="D60:Q60">D61+D62+D63+D64+D65</f>
        <v>305</v>
      </c>
      <c r="E60" s="409">
        <f t="shared" si="23"/>
        <v>264</v>
      </c>
      <c r="F60" s="409">
        <f t="shared" si="23"/>
        <v>17</v>
      </c>
      <c r="G60" s="409">
        <f t="shared" si="23"/>
        <v>0</v>
      </c>
      <c r="H60" s="409">
        <f t="shared" si="23"/>
        <v>552</v>
      </c>
      <c r="I60" s="409">
        <f t="shared" si="23"/>
        <v>282</v>
      </c>
      <c r="J60" s="409">
        <f t="shared" si="23"/>
        <v>197</v>
      </c>
      <c r="K60" s="409">
        <f t="shared" si="23"/>
        <v>7</v>
      </c>
      <c r="L60" s="409">
        <f t="shared" si="23"/>
        <v>70</v>
      </c>
      <c r="M60" s="409">
        <f t="shared" si="23"/>
        <v>7</v>
      </c>
      <c r="N60" s="409">
        <f t="shared" si="23"/>
        <v>0</v>
      </c>
      <c r="O60" s="409">
        <f t="shared" si="23"/>
        <v>0</v>
      </c>
      <c r="P60" s="409">
        <f t="shared" si="23"/>
        <v>1</v>
      </c>
      <c r="Q60" s="409">
        <f t="shared" si="23"/>
        <v>270</v>
      </c>
      <c r="R60" s="415">
        <f t="shared" si="14"/>
        <v>348</v>
      </c>
      <c r="S60" s="412">
        <f t="shared" si="2"/>
        <v>0.723404255319149</v>
      </c>
      <c r="T60" s="413">
        <f t="shared" si="3"/>
        <v>0</v>
      </c>
    </row>
    <row r="61" spans="1:20" s="440" customFormat="1" ht="23.25" customHeight="1">
      <c r="A61" s="443">
        <v>1</v>
      </c>
      <c r="B61" s="443" t="s">
        <v>488</v>
      </c>
      <c r="C61" s="445">
        <f aca="true" t="shared" si="24" ref="C61:C66">D61+E61</f>
        <v>95</v>
      </c>
      <c r="D61" s="446">
        <v>24</v>
      </c>
      <c r="E61" s="446">
        <v>71</v>
      </c>
      <c r="F61" s="446">
        <v>7</v>
      </c>
      <c r="G61" s="446"/>
      <c r="H61" s="445">
        <f>I61+Q61</f>
        <v>88</v>
      </c>
      <c r="I61" s="445">
        <f>J61+K61+L61+M61+N61+O61+P61</f>
        <v>74</v>
      </c>
      <c r="J61" s="446">
        <v>53</v>
      </c>
      <c r="K61" s="446">
        <v>2</v>
      </c>
      <c r="L61" s="449">
        <v>19</v>
      </c>
      <c r="M61" s="449"/>
      <c r="N61" s="462"/>
      <c r="O61" s="462"/>
      <c r="P61" s="462"/>
      <c r="Q61" s="447">
        <v>14</v>
      </c>
      <c r="R61" s="441">
        <f t="shared" si="14"/>
        <v>33</v>
      </c>
      <c r="S61" s="438">
        <f t="shared" si="2"/>
        <v>0.7432432432432432</v>
      </c>
      <c r="T61" s="439">
        <f t="shared" si="3"/>
        <v>0</v>
      </c>
    </row>
    <row r="62" spans="1:20" s="440" customFormat="1" ht="23.25" customHeight="1">
      <c r="A62" s="443">
        <v>2</v>
      </c>
      <c r="B62" s="443" t="s">
        <v>489</v>
      </c>
      <c r="C62" s="445">
        <f t="shared" si="24"/>
        <v>142</v>
      </c>
      <c r="D62" s="446">
        <v>73</v>
      </c>
      <c r="E62" s="446">
        <v>69</v>
      </c>
      <c r="F62" s="446">
        <v>3</v>
      </c>
      <c r="G62" s="446"/>
      <c r="H62" s="445">
        <f>I62+Q62</f>
        <v>139</v>
      </c>
      <c r="I62" s="445">
        <f>J62+K62+L62+M62+N62+O62+P62</f>
        <v>72</v>
      </c>
      <c r="J62" s="446">
        <v>58</v>
      </c>
      <c r="K62" s="446">
        <v>1</v>
      </c>
      <c r="L62" s="449">
        <v>11</v>
      </c>
      <c r="M62" s="449">
        <v>2</v>
      </c>
      <c r="N62" s="462"/>
      <c r="O62" s="462"/>
      <c r="P62" s="462"/>
      <c r="Q62" s="447">
        <v>67</v>
      </c>
      <c r="R62" s="441">
        <f t="shared" si="14"/>
        <v>80</v>
      </c>
      <c r="S62" s="438">
        <f t="shared" si="2"/>
        <v>0.8194444444444444</v>
      </c>
      <c r="T62" s="439">
        <f t="shared" si="3"/>
        <v>0</v>
      </c>
    </row>
    <row r="63" spans="1:20" s="440" customFormat="1" ht="23.25" customHeight="1">
      <c r="A63" s="443">
        <v>3</v>
      </c>
      <c r="B63" s="443" t="s">
        <v>490</v>
      </c>
      <c r="C63" s="445">
        <f t="shared" si="24"/>
        <v>163</v>
      </c>
      <c r="D63" s="446">
        <v>82</v>
      </c>
      <c r="E63" s="446">
        <v>81</v>
      </c>
      <c r="F63" s="446">
        <v>6</v>
      </c>
      <c r="G63" s="446"/>
      <c r="H63" s="445">
        <f>I63+Q63</f>
        <v>157</v>
      </c>
      <c r="I63" s="445">
        <f>J63+K63+L63+M63+N63+O63+P63</f>
        <v>89</v>
      </c>
      <c r="J63" s="446">
        <v>56</v>
      </c>
      <c r="K63" s="446">
        <v>3</v>
      </c>
      <c r="L63" s="449">
        <v>27</v>
      </c>
      <c r="M63" s="449">
        <v>2</v>
      </c>
      <c r="N63" s="462"/>
      <c r="O63" s="462"/>
      <c r="P63" s="462">
        <v>1</v>
      </c>
      <c r="Q63" s="447">
        <v>68</v>
      </c>
      <c r="R63" s="441">
        <f t="shared" si="14"/>
        <v>98</v>
      </c>
      <c r="S63" s="438">
        <f t="shared" si="2"/>
        <v>0.6629213483146067</v>
      </c>
      <c r="T63" s="439">
        <f t="shared" si="3"/>
        <v>0</v>
      </c>
    </row>
    <row r="64" spans="1:20" s="440" customFormat="1" ht="23.25" customHeight="1">
      <c r="A64" s="443">
        <v>4</v>
      </c>
      <c r="B64" s="450" t="s">
        <v>610</v>
      </c>
      <c r="C64" s="445">
        <f t="shared" si="24"/>
        <v>117</v>
      </c>
      <c r="D64" s="446">
        <v>80</v>
      </c>
      <c r="E64" s="446">
        <v>37</v>
      </c>
      <c r="F64" s="446">
        <v>1</v>
      </c>
      <c r="G64" s="446"/>
      <c r="H64" s="445">
        <f>I64+Q64</f>
        <v>116</v>
      </c>
      <c r="I64" s="445">
        <f>J64+K64+L64+M64+N64+O64+P64</f>
        <v>38</v>
      </c>
      <c r="J64" s="446">
        <v>27</v>
      </c>
      <c r="K64" s="446">
        <v>1</v>
      </c>
      <c r="L64" s="449">
        <v>9</v>
      </c>
      <c r="M64" s="449">
        <v>1</v>
      </c>
      <c r="N64" s="462"/>
      <c r="O64" s="462"/>
      <c r="P64" s="462"/>
      <c r="Q64" s="447">
        <v>78</v>
      </c>
      <c r="R64" s="441">
        <f t="shared" si="14"/>
        <v>88</v>
      </c>
      <c r="S64" s="438">
        <f t="shared" si="2"/>
        <v>0.7368421052631579</v>
      </c>
      <c r="T64" s="439">
        <f t="shared" si="3"/>
        <v>0</v>
      </c>
    </row>
    <row r="65" spans="1:20" s="440" customFormat="1" ht="23.25" customHeight="1">
      <c r="A65" s="443">
        <v>5</v>
      </c>
      <c r="B65" s="450" t="s">
        <v>609</v>
      </c>
      <c r="C65" s="445">
        <f t="shared" si="24"/>
        <v>52</v>
      </c>
      <c r="D65" s="446">
        <v>46</v>
      </c>
      <c r="E65" s="446">
        <v>6</v>
      </c>
      <c r="F65" s="446"/>
      <c r="G65" s="446"/>
      <c r="H65" s="445">
        <f>I65+Q65</f>
        <v>52</v>
      </c>
      <c r="I65" s="445">
        <f>J65+K65+L65+M65+N65+O65+P65</f>
        <v>9</v>
      </c>
      <c r="J65" s="446">
        <v>3</v>
      </c>
      <c r="K65" s="446"/>
      <c r="L65" s="449">
        <v>4</v>
      </c>
      <c r="M65" s="449">
        <v>2</v>
      </c>
      <c r="N65" s="462"/>
      <c r="O65" s="462"/>
      <c r="P65" s="462"/>
      <c r="Q65" s="447">
        <v>43</v>
      </c>
      <c r="R65" s="441">
        <f t="shared" si="14"/>
        <v>49</v>
      </c>
      <c r="S65" s="438">
        <f t="shared" si="2"/>
        <v>0.3333333333333333</v>
      </c>
      <c r="T65" s="439"/>
    </row>
    <row r="66" spans="1:20" s="414" customFormat="1" ht="23.25" customHeight="1">
      <c r="A66" s="417">
        <v>7</v>
      </c>
      <c r="B66" s="417" t="s">
        <v>491</v>
      </c>
      <c r="C66" s="409">
        <f t="shared" si="24"/>
        <v>1180</v>
      </c>
      <c r="D66" s="422">
        <f>SUM(D67:D74)</f>
        <v>766</v>
      </c>
      <c r="E66" s="422">
        <f aca="true" t="shared" si="25" ref="E66:Q66">SUM(E67:E74)</f>
        <v>414</v>
      </c>
      <c r="F66" s="410">
        <f t="shared" si="25"/>
        <v>11</v>
      </c>
      <c r="G66" s="410">
        <f t="shared" si="25"/>
        <v>0</v>
      </c>
      <c r="H66" s="422">
        <f t="shared" si="25"/>
        <v>1169</v>
      </c>
      <c r="I66" s="422">
        <f t="shared" si="25"/>
        <v>578</v>
      </c>
      <c r="J66" s="410">
        <f t="shared" si="25"/>
        <v>303</v>
      </c>
      <c r="K66" s="410">
        <f t="shared" si="25"/>
        <v>24</v>
      </c>
      <c r="L66" s="410">
        <f t="shared" si="25"/>
        <v>218</v>
      </c>
      <c r="M66" s="410">
        <f t="shared" si="25"/>
        <v>0</v>
      </c>
      <c r="N66" s="410">
        <f t="shared" si="25"/>
        <v>0</v>
      </c>
      <c r="O66" s="410">
        <f t="shared" si="25"/>
        <v>0</v>
      </c>
      <c r="P66" s="410">
        <f t="shared" si="25"/>
        <v>33</v>
      </c>
      <c r="Q66" s="422">
        <f t="shared" si="25"/>
        <v>591</v>
      </c>
      <c r="R66" s="415">
        <f t="shared" si="14"/>
        <v>842</v>
      </c>
      <c r="S66" s="412">
        <f t="shared" si="2"/>
        <v>0.5657439446366782</v>
      </c>
      <c r="T66" s="413">
        <f t="shared" si="3"/>
        <v>0</v>
      </c>
    </row>
    <row r="67" spans="1:20" s="414" customFormat="1" ht="23.25" customHeight="1">
      <c r="A67" s="463" t="s">
        <v>589</v>
      </c>
      <c r="B67" s="448" t="s">
        <v>492</v>
      </c>
      <c r="C67" s="445">
        <f aca="true" t="shared" si="26" ref="C67:C74">D67+E67</f>
        <v>29</v>
      </c>
      <c r="D67" s="446">
        <v>4</v>
      </c>
      <c r="E67" s="446">
        <v>25</v>
      </c>
      <c r="F67" s="446"/>
      <c r="G67" s="446"/>
      <c r="H67" s="445">
        <f aca="true" t="shared" si="27" ref="H67:H74">I67+Q67</f>
        <v>29</v>
      </c>
      <c r="I67" s="445">
        <f aca="true" t="shared" si="28" ref="I67:I74">SUM(J67:P67)</f>
        <v>29</v>
      </c>
      <c r="J67" s="446">
        <v>19</v>
      </c>
      <c r="K67" s="446">
        <v>1</v>
      </c>
      <c r="L67" s="446">
        <v>9</v>
      </c>
      <c r="M67" s="446"/>
      <c r="N67" s="446"/>
      <c r="O67" s="446"/>
      <c r="P67" s="449"/>
      <c r="Q67" s="447">
        <v>0</v>
      </c>
      <c r="R67" s="441">
        <f t="shared" si="14"/>
        <v>9</v>
      </c>
      <c r="S67" s="438">
        <f t="shared" si="2"/>
        <v>0.6896551724137931</v>
      </c>
      <c r="T67" s="439">
        <f t="shared" si="3"/>
        <v>0</v>
      </c>
    </row>
    <row r="68" spans="1:20" s="414" customFormat="1" ht="23.25" customHeight="1">
      <c r="A68" s="463" t="s">
        <v>590</v>
      </c>
      <c r="B68" s="448" t="s">
        <v>493</v>
      </c>
      <c r="C68" s="445">
        <f t="shared" si="26"/>
        <v>186</v>
      </c>
      <c r="D68" s="446">
        <v>116</v>
      </c>
      <c r="E68" s="446">
        <v>70</v>
      </c>
      <c r="F68" s="446">
        <v>2</v>
      </c>
      <c r="G68" s="446"/>
      <c r="H68" s="445">
        <f t="shared" si="27"/>
        <v>184</v>
      </c>
      <c r="I68" s="445">
        <f t="shared" si="28"/>
        <v>84</v>
      </c>
      <c r="J68" s="446">
        <v>44</v>
      </c>
      <c r="K68" s="446">
        <v>3</v>
      </c>
      <c r="L68" s="446">
        <v>37</v>
      </c>
      <c r="M68" s="446"/>
      <c r="N68" s="446"/>
      <c r="O68" s="446"/>
      <c r="P68" s="449">
        <v>0</v>
      </c>
      <c r="Q68" s="447">
        <v>100</v>
      </c>
      <c r="R68" s="441">
        <f t="shared" si="14"/>
        <v>137</v>
      </c>
      <c r="S68" s="438">
        <f t="shared" si="2"/>
        <v>0.5595238095238095</v>
      </c>
      <c r="T68" s="439">
        <f t="shared" si="3"/>
        <v>0</v>
      </c>
    </row>
    <row r="69" spans="1:20" s="414" customFormat="1" ht="23.25" customHeight="1">
      <c r="A69" s="463" t="s">
        <v>591</v>
      </c>
      <c r="B69" s="448" t="s">
        <v>494</v>
      </c>
      <c r="C69" s="445">
        <f t="shared" si="26"/>
        <v>234</v>
      </c>
      <c r="D69" s="446">
        <v>169</v>
      </c>
      <c r="E69" s="446">
        <v>65</v>
      </c>
      <c r="F69" s="446"/>
      <c r="G69" s="446"/>
      <c r="H69" s="445">
        <f t="shared" si="27"/>
        <v>234</v>
      </c>
      <c r="I69" s="445">
        <f t="shared" si="28"/>
        <v>80</v>
      </c>
      <c r="J69" s="446">
        <v>36</v>
      </c>
      <c r="K69" s="446"/>
      <c r="L69" s="446">
        <v>42</v>
      </c>
      <c r="M69" s="446"/>
      <c r="N69" s="446"/>
      <c r="O69" s="446"/>
      <c r="P69" s="449">
        <v>2</v>
      </c>
      <c r="Q69" s="447">
        <v>154</v>
      </c>
      <c r="R69" s="441">
        <f t="shared" si="14"/>
        <v>198</v>
      </c>
      <c r="S69" s="438">
        <f t="shared" si="2"/>
        <v>0.45</v>
      </c>
      <c r="T69" s="439">
        <f t="shared" si="3"/>
        <v>0</v>
      </c>
    </row>
    <row r="70" spans="1:20" s="414" customFormat="1" ht="23.25" customHeight="1">
      <c r="A70" s="463" t="s">
        <v>592</v>
      </c>
      <c r="B70" s="448" t="s">
        <v>495</v>
      </c>
      <c r="C70" s="445">
        <f t="shared" si="26"/>
        <v>49</v>
      </c>
      <c r="D70" s="446">
        <v>8</v>
      </c>
      <c r="E70" s="446">
        <v>41</v>
      </c>
      <c r="F70" s="446"/>
      <c r="G70" s="446"/>
      <c r="H70" s="445">
        <f t="shared" si="27"/>
        <v>49</v>
      </c>
      <c r="I70" s="445">
        <f t="shared" si="28"/>
        <v>49</v>
      </c>
      <c r="J70" s="446">
        <v>39</v>
      </c>
      <c r="K70" s="446"/>
      <c r="L70" s="446">
        <v>10</v>
      </c>
      <c r="M70" s="446"/>
      <c r="N70" s="446"/>
      <c r="O70" s="446"/>
      <c r="P70" s="449">
        <v>0</v>
      </c>
      <c r="Q70" s="447">
        <v>0</v>
      </c>
      <c r="R70" s="441">
        <f t="shared" si="14"/>
        <v>10</v>
      </c>
      <c r="S70" s="438">
        <f t="shared" si="2"/>
        <v>0.7959183673469388</v>
      </c>
      <c r="T70" s="439">
        <f t="shared" si="3"/>
        <v>0</v>
      </c>
    </row>
    <row r="71" spans="1:20" s="414" customFormat="1" ht="23.25" customHeight="1">
      <c r="A71" s="463" t="s">
        <v>593</v>
      </c>
      <c r="B71" s="448" t="s">
        <v>496</v>
      </c>
      <c r="C71" s="445">
        <f t="shared" si="26"/>
        <v>181</v>
      </c>
      <c r="D71" s="446">
        <v>123</v>
      </c>
      <c r="E71" s="446">
        <v>58</v>
      </c>
      <c r="F71" s="446">
        <v>4</v>
      </c>
      <c r="G71" s="446"/>
      <c r="H71" s="445">
        <f t="shared" si="27"/>
        <v>177</v>
      </c>
      <c r="I71" s="445">
        <f t="shared" si="28"/>
        <v>94</v>
      </c>
      <c r="J71" s="446">
        <v>55</v>
      </c>
      <c r="K71" s="446">
        <v>11</v>
      </c>
      <c r="L71" s="446">
        <v>22</v>
      </c>
      <c r="M71" s="446"/>
      <c r="N71" s="446"/>
      <c r="O71" s="446"/>
      <c r="P71" s="449">
        <v>6</v>
      </c>
      <c r="Q71" s="447">
        <v>83</v>
      </c>
      <c r="R71" s="441">
        <f t="shared" si="14"/>
        <v>111</v>
      </c>
      <c r="S71" s="438">
        <f t="shared" si="2"/>
        <v>0.7021276595744681</v>
      </c>
      <c r="T71" s="439">
        <f t="shared" si="3"/>
        <v>0</v>
      </c>
    </row>
    <row r="72" spans="1:20" s="414" customFormat="1" ht="23.25" customHeight="1">
      <c r="A72" s="463" t="s">
        <v>594</v>
      </c>
      <c r="B72" s="448" t="s">
        <v>497</v>
      </c>
      <c r="C72" s="445">
        <f t="shared" si="26"/>
        <v>201</v>
      </c>
      <c r="D72" s="446">
        <v>153</v>
      </c>
      <c r="E72" s="446">
        <v>48</v>
      </c>
      <c r="F72" s="446">
        <v>2</v>
      </c>
      <c r="G72" s="446"/>
      <c r="H72" s="445">
        <f t="shared" si="27"/>
        <v>199</v>
      </c>
      <c r="I72" s="445">
        <f t="shared" si="28"/>
        <v>83</v>
      </c>
      <c r="J72" s="446">
        <v>44</v>
      </c>
      <c r="K72" s="446">
        <v>4</v>
      </c>
      <c r="L72" s="446">
        <v>34</v>
      </c>
      <c r="M72" s="446"/>
      <c r="N72" s="446"/>
      <c r="O72" s="446"/>
      <c r="P72" s="449">
        <v>1</v>
      </c>
      <c r="Q72" s="447">
        <v>116</v>
      </c>
      <c r="R72" s="441">
        <f t="shared" si="14"/>
        <v>151</v>
      </c>
      <c r="S72" s="438">
        <f t="shared" si="2"/>
        <v>0.5783132530120482</v>
      </c>
      <c r="T72" s="439">
        <f t="shared" si="3"/>
        <v>0</v>
      </c>
    </row>
    <row r="73" spans="1:20" s="414" customFormat="1" ht="23.25" customHeight="1">
      <c r="A73" s="463" t="s">
        <v>595</v>
      </c>
      <c r="B73" s="448" t="s">
        <v>498</v>
      </c>
      <c r="C73" s="445">
        <f t="shared" si="26"/>
        <v>235</v>
      </c>
      <c r="D73" s="446">
        <v>145</v>
      </c>
      <c r="E73" s="446">
        <v>90</v>
      </c>
      <c r="F73" s="446">
        <v>2</v>
      </c>
      <c r="G73" s="446"/>
      <c r="H73" s="445">
        <f t="shared" si="27"/>
        <v>233</v>
      </c>
      <c r="I73" s="445">
        <f t="shared" si="28"/>
        <v>120</v>
      </c>
      <c r="J73" s="446">
        <v>56</v>
      </c>
      <c r="K73" s="446">
        <v>5</v>
      </c>
      <c r="L73" s="446">
        <v>46</v>
      </c>
      <c r="M73" s="446"/>
      <c r="N73" s="446"/>
      <c r="O73" s="446"/>
      <c r="P73" s="449">
        <v>13</v>
      </c>
      <c r="Q73" s="447">
        <v>113</v>
      </c>
      <c r="R73" s="441">
        <f t="shared" si="14"/>
        <v>172</v>
      </c>
      <c r="S73" s="438">
        <f t="shared" si="2"/>
        <v>0.5083333333333333</v>
      </c>
      <c r="T73" s="439">
        <f t="shared" si="3"/>
        <v>0</v>
      </c>
    </row>
    <row r="74" spans="1:20" s="414" customFormat="1" ht="23.25" customHeight="1">
      <c r="A74" s="463" t="s">
        <v>596</v>
      </c>
      <c r="B74" s="463" t="s">
        <v>597</v>
      </c>
      <c r="C74" s="445">
        <f t="shared" si="26"/>
        <v>65</v>
      </c>
      <c r="D74" s="446">
        <v>48</v>
      </c>
      <c r="E74" s="446">
        <v>17</v>
      </c>
      <c r="F74" s="446">
        <v>1</v>
      </c>
      <c r="G74" s="446"/>
      <c r="H74" s="445">
        <f t="shared" si="27"/>
        <v>64</v>
      </c>
      <c r="I74" s="445">
        <f t="shared" si="28"/>
        <v>39</v>
      </c>
      <c r="J74" s="446">
        <v>10</v>
      </c>
      <c r="K74" s="446"/>
      <c r="L74" s="446">
        <v>18</v>
      </c>
      <c r="M74" s="446"/>
      <c r="N74" s="446"/>
      <c r="O74" s="446"/>
      <c r="P74" s="449">
        <v>11</v>
      </c>
      <c r="Q74" s="447">
        <v>25</v>
      </c>
      <c r="R74" s="441">
        <f t="shared" si="14"/>
        <v>54</v>
      </c>
      <c r="S74" s="438">
        <f t="shared" si="2"/>
        <v>0.2564102564102564</v>
      </c>
      <c r="T74" s="439">
        <f t="shared" si="3"/>
        <v>0</v>
      </c>
    </row>
    <row r="75" spans="1:20" s="414" customFormat="1" ht="23.25" customHeight="1">
      <c r="A75" s="407">
        <v>8</v>
      </c>
      <c r="B75" s="408" t="s">
        <v>499</v>
      </c>
      <c r="C75" s="409">
        <f>C76+C77</f>
        <v>485</v>
      </c>
      <c r="D75" s="410">
        <f>D76+D77</f>
        <v>183</v>
      </c>
      <c r="E75" s="410">
        <f aca="true" t="shared" si="29" ref="E75:Q75">E76+E77</f>
        <v>302</v>
      </c>
      <c r="F75" s="410">
        <f t="shared" si="29"/>
        <v>13</v>
      </c>
      <c r="G75" s="410">
        <f t="shared" si="29"/>
        <v>0</v>
      </c>
      <c r="H75" s="409">
        <f>H76+H77</f>
        <v>472</v>
      </c>
      <c r="I75" s="409">
        <f t="shared" si="29"/>
        <v>326</v>
      </c>
      <c r="J75" s="410">
        <f t="shared" si="29"/>
        <v>196</v>
      </c>
      <c r="K75" s="410">
        <f t="shared" si="29"/>
        <v>7</v>
      </c>
      <c r="L75" s="410">
        <f t="shared" si="29"/>
        <v>123</v>
      </c>
      <c r="M75" s="410">
        <f t="shared" si="29"/>
        <v>0</v>
      </c>
      <c r="N75" s="410">
        <f t="shared" si="29"/>
        <v>0</v>
      </c>
      <c r="O75" s="410">
        <f t="shared" si="29"/>
        <v>0</v>
      </c>
      <c r="P75" s="410">
        <f t="shared" si="29"/>
        <v>0</v>
      </c>
      <c r="Q75" s="409">
        <f t="shared" si="29"/>
        <v>146</v>
      </c>
      <c r="R75" s="415">
        <f t="shared" si="14"/>
        <v>269</v>
      </c>
      <c r="S75" s="412">
        <f t="shared" si="2"/>
        <v>0.6226993865030674</v>
      </c>
      <c r="T75" s="413">
        <f t="shared" si="3"/>
        <v>0</v>
      </c>
    </row>
    <row r="76" spans="1:20" s="414" customFormat="1" ht="23.25" customHeight="1">
      <c r="A76" s="448" t="s">
        <v>500</v>
      </c>
      <c r="B76" s="451" t="s">
        <v>501</v>
      </c>
      <c r="C76" s="445">
        <f>D76+E76</f>
        <v>196</v>
      </c>
      <c r="D76" s="446" t="s">
        <v>502</v>
      </c>
      <c r="E76" s="446">
        <v>155</v>
      </c>
      <c r="F76" s="446">
        <v>10</v>
      </c>
      <c r="G76" s="446"/>
      <c r="H76" s="445">
        <f>Q76+I76</f>
        <v>186</v>
      </c>
      <c r="I76" s="445">
        <f>J76+K76+L76+M76+N76+O76+P76</f>
        <v>157</v>
      </c>
      <c r="J76" s="446">
        <v>97</v>
      </c>
      <c r="K76" s="446">
        <v>0</v>
      </c>
      <c r="L76" s="446">
        <v>60</v>
      </c>
      <c r="M76" s="446"/>
      <c r="N76" s="446"/>
      <c r="O76" s="446"/>
      <c r="P76" s="449"/>
      <c r="Q76" s="447">
        <v>29</v>
      </c>
      <c r="R76" s="441">
        <f t="shared" si="14"/>
        <v>89</v>
      </c>
      <c r="S76" s="438">
        <f t="shared" si="2"/>
        <v>0.6178343949044586</v>
      </c>
      <c r="T76" s="439">
        <f t="shared" si="3"/>
        <v>0</v>
      </c>
    </row>
    <row r="77" spans="1:20" s="414" customFormat="1" ht="23.25" customHeight="1">
      <c r="A77" s="448" t="s">
        <v>503</v>
      </c>
      <c r="B77" s="451" t="s">
        <v>504</v>
      </c>
      <c r="C77" s="445">
        <f>D77+E77</f>
        <v>289</v>
      </c>
      <c r="D77" s="446" t="s">
        <v>505</v>
      </c>
      <c r="E77" s="446">
        <v>147</v>
      </c>
      <c r="F77" s="446">
        <v>3</v>
      </c>
      <c r="G77" s="446"/>
      <c r="H77" s="445">
        <f>Q77+I77</f>
        <v>286</v>
      </c>
      <c r="I77" s="445">
        <f>J77+K77+L77+M77+N77+O77+P77</f>
        <v>169</v>
      </c>
      <c r="J77" s="446">
        <v>99</v>
      </c>
      <c r="K77" s="446">
        <v>7</v>
      </c>
      <c r="L77" s="446">
        <v>63</v>
      </c>
      <c r="M77" s="446"/>
      <c r="N77" s="446"/>
      <c r="O77" s="446"/>
      <c r="P77" s="449"/>
      <c r="Q77" s="447">
        <v>117</v>
      </c>
      <c r="R77" s="441">
        <f t="shared" si="14"/>
        <v>180</v>
      </c>
      <c r="S77" s="438">
        <f t="shared" si="2"/>
        <v>0.6272189349112426</v>
      </c>
      <c r="T77" s="439">
        <f t="shared" si="3"/>
        <v>0</v>
      </c>
    </row>
    <row r="78" spans="1:20" s="414" customFormat="1" ht="23.25" customHeight="1">
      <c r="A78" s="407">
        <v>9</v>
      </c>
      <c r="B78" s="408" t="s">
        <v>506</v>
      </c>
      <c r="C78" s="415">
        <f>SUM(C79:C82)</f>
        <v>405</v>
      </c>
      <c r="D78" s="435">
        <f aca="true" t="shared" si="30" ref="D78:Q78">SUM(D79:D82)</f>
        <v>176</v>
      </c>
      <c r="E78" s="435">
        <f t="shared" si="30"/>
        <v>229</v>
      </c>
      <c r="F78" s="435">
        <f t="shared" si="30"/>
        <v>7</v>
      </c>
      <c r="G78" s="435">
        <f t="shared" si="30"/>
        <v>0</v>
      </c>
      <c r="H78" s="415">
        <f t="shared" si="30"/>
        <v>398</v>
      </c>
      <c r="I78" s="415">
        <f t="shared" si="30"/>
        <v>269</v>
      </c>
      <c r="J78" s="435">
        <f t="shared" si="30"/>
        <v>179</v>
      </c>
      <c r="K78" s="435">
        <f t="shared" si="30"/>
        <v>1</v>
      </c>
      <c r="L78" s="435">
        <f t="shared" si="30"/>
        <v>67</v>
      </c>
      <c r="M78" s="435">
        <f t="shared" si="30"/>
        <v>21</v>
      </c>
      <c r="N78" s="435">
        <f t="shared" si="30"/>
        <v>0</v>
      </c>
      <c r="O78" s="435">
        <f t="shared" si="30"/>
        <v>0</v>
      </c>
      <c r="P78" s="435">
        <f t="shared" si="30"/>
        <v>1</v>
      </c>
      <c r="Q78" s="415">
        <f t="shared" si="30"/>
        <v>129</v>
      </c>
      <c r="R78" s="415">
        <f t="shared" si="14"/>
        <v>218</v>
      </c>
      <c r="S78" s="412">
        <f aca="true" t="shared" si="31" ref="S78:S117">(J78+K78)/I78</f>
        <v>0.6691449814126395</v>
      </c>
      <c r="T78" s="413">
        <f aca="true" t="shared" si="32" ref="T78:T117">C78-F78-H78</f>
        <v>0</v>
      </c>
    </row>
    <row r="79" spans="1:20" s="414" customFormat="1" ht="23.25" customHeight="1">
      <c r="A79" s="448" t="s">
        <v>507</v>
      </c>
      <c r="B79" s="448" t="s">
        <v>508</v>
      </c>
      <c r="C79" s="441">
        <f>SUM(D79:E79)</f>
        <v>102</v>
      </c>
      <c r="D79" s="464">
        <v>37</v>
      </c>
      <c r="E79" s="464">
        <v>65</v>
      </c>
      <c r="F79" s="464">
        <v>1</v>
      </c>
      <c r="G79" s="464">
        <v>0</v>
      </c>
      <c r="H79" s="441">
        <f>SUM(I79,Q79)</f>
        <v>101</v>
      </c>
      <c r="I79" s="441">
        <f>SUM(J79:P79)</f>
        <v>70</v>
      </c>
      <c r="J79" s="464">
        <v>57</v>
      </c>
      <c r="K79" s="464">
        <f>1</f>
        <v>1</v>
      </c>
      <c r="L79" s="464">
        <v>10</v>
      </c>
      <c r="M79" s="464">
        <v>2</v>
      </c>
      <c r="N79" s="464">
        <v>0</v>
      </c>
      <c r="O79" s="464">
        <v>0</v>
      </c>
      <c r="P79" s="465">
        <v>0</v>
      </c>
      <c r="Q79" s="466">
        <v>31</v>
      </c>
      <c r="R79" s="441">
        <f t="shared" si="14"/>
        <v>43</v>
      </c>
      <c r="S79" s="438">
        <f t="shared" si="31"/>
        <v>0.8285714285714286</v>
      </c>
      <c r="T79" s="439">
        <f t="shared" si="32"/>
        <v>0</v>
      </c>
    </row>
    <row r="80" spans="1:20" s="414" customFormat="1" ht="23.25" customHeight="1">
      <c r="A80" s="448" t="s">
        <v>509</v>
      </c>
      <c r="B80" s="448" t="s">
        <v>510</v>
      </c>
      <c r="C80" s="441">
        <f>SUM(D80:E80)</f>
        <v>138</v>
      </c>
      <c r="D80" s="464">
        <v>61</v>
      </c>
      <c r="E80" s="464">
        <v>77</v>
      </c>
      <c r="F80" s="464">
        <v>1</v>
      </c>
      <c r="G80" s="464">
        <v>0</v>
      </c>
      <c r="H80" s="441">
        <f>SUM(I80,Q80)</f>
        <v>137</v>
      </c>
      <c r="I80" s="441">
        <f>SUM(J80:P80)</f>
        <v>104</v>
      </c>
      <c r="J80" s="464">
        <v>54</v>
      </c>
      <c r="K80" s="464">
        <v>0</v>
      </c>
      <c r="L80" s="464">
        <v>37</v>
      </c>
      <c r="M80" s="464">
        <v>12</v>
      </c>
      <c r="N80" s="464">
        <v>0</v>
      </c>
      <c r="O80" s="464">
        <v>0</v>
      </c>
      <c r="P80" s="465">
        <v>1</v>
      </c>
      <c r="Q80" s="466">
        <f>33</f>
        <v>33</v>
      </c>
      <c r="R80" s="441">
        <f t="shared" si="14"/>
        <v>83</v>
      </c>
      <c r="S80" s="438">
        <f t="shared" si="31"/>
        <v>0.5192307692307693</v>
      </c>
      <c r="T80" s="439">
        <f t="shared" si="32"/>
        <v>0</v>
      </c>
    </row>
    <row r="81" spans="1:20" s="414" customFormat="1" ht="23.25" customHeight="1">
      <c r="A81" s="448" t="s">
        <v>511</v>
      </c>
      <c r="B81" s="448" t="s">
        <v>512</v>
      </c>
      <c r="C81" s="441">
        <f>SUM(D81:E81)</f>
        <v>98</v>
      </c>
      <c r="D81" s="464">
        <v>44</v>
      </c>
      <c r="E81" s="464">
        <v>54</v>
      </c>
      <c r="F81" s="464">
        <v>4</v>
      </c>
      <c r="G81" s="464">
        <v>0</v>
      </c>
      <c r="H81" s="441">
        <f>SUM(I81,Q81)</f>
        <v>94</v>
      </c>
      <c r="I81" s="441">
        <f>SUM(J81:P81)</f>
        <v>59</v>
      </c>
      <c r="J81" s="464">
        <v>39</v>
      </c>
      <c r="K81" s="464">
        <v>0</v>
      </c>
      <c r="L81" s="464">
        <v>13</v>
      </c>
      <c r="M81" s="464">
        <v>7</v>
      </c>
      <c r="N81" s="464">
        <v>0</v>
      </c>
      <c r="O81" s="464">
        <v>0</v>
      </c>
      <c r="P81" s="465">
        <v>0</v>
      </c>
      <c r="Q81" s="466">
        <v>35</v>
      </c>
      <c r="R81" s="441">
        <f t="shared" si="14"/>
        <v>55</v>
      </c>
      <c r="S81" s="438">
        <f t="shared" si="31"/>
        <v>0.6610169491525424</v>
      </c>
      <c r="T81" s="439">
        <f t="shared" si="32"/>
        <v>0</v>
      </c>
    </row>
    <row r="82" spans="1:20" s="414" customFormat="1" ht="23.25" customHeight="1">
      <c r="A82" s="448" t="s">
        <v>513</v>
      </c>
      <c r="B82" s="448" t="s">
        <v>514</v>
      </c>
      <c r="C82" s="441">
        <f>SUM(D82:E82)</f>
        <v>67</v>
      </c>
      <c r="D82" s="464">
        <v>34</v>
      </c>
      <c r="E82" s="464">
        <v>33</v>
      </c>
      <c r="F82" s="464">
        <f>1</f>
        <v>1</v>
      </c>
      <c r="G82" s="464">
        <v>0</v>
      </c>
      <c r="H82" s="441">
        <f>SUM(I82,Q82)</f>
        <v>66</v>
      </c>
      <c r="I82" s="441">
        <f>SUM(J82:P82)</f>
        <v>36</v>
      </c>
      <c r="J82" s="464">
        <v>29</v>
      </c>
      <c r="K82" s="464">
        <v>0</v>
      </c>
      <c r="L82" s="464">
        <f>C82-J82-K82-M82-N82-O82-P82-Q82-F82-G82</f>
        <v>7</v>
      </c>
      <c r="M82" s="464">
        <f>0</f>
        <v>0</v>
      </c>
      <c r="N82" s="464">
        <v>0</v>
      </c>
      <c r="O82" s="464">
        <v>0</v>
      </c>
      <c r="P82" s="465">
        <v>0</v>
      </c>
      <c r="Q82" s="466">
        <f>19+11</f>
        <v>30</v>
      </c>
      <c r="R82" s="441">
        <f t="shared" si="14"/>
        <v>37</v>
      </c>
      <c r="S82" s="438">
        <f t="shared" si="31"/>
        <v>0.8055555555555556</v>
      </c>
      <c r="T82" s="439">
        <f t="shared" si="32"/>
        <v>0</v>
      </c>
    </row>
    <row r="83" spans="1:20" s="414" customFormat="1" ht="23.25" customHeight="1">
      <c r="A83" s="407">
        <v>10</v>
      </c>
      <c r="B83" s="408" t="s">
        <v>515</v>
      </c>
      <c r="C83" s="415">
        <f aca="true" t="shared" si="33" ref="C83:C92">SUM(D83:E83)</f>
        <v>2032</v>
      </c>
      <c r="D83" s="431">
        <f>SUM(D84:D92)</f>
        <v>1529</v>
      </c>
      <c r="E83" s="431">
        <f aca="true" t="shared" si="34" ref="E83:Q83">SUM(E84:E92)</f>
        <v>503</v>
      </c>
      <c r="F83" s="431">
        <f t="shared" si="34"/>
        <v>9</v>
      </c>
      <c r="G83" s="431">
        <f t="shared" si="34"/>
        <v>0</v>
      </c>
      <c r="H83" s="432">
        <f t="shared" si="34"/>
        <v>2023</v>
      </c>
      <c r="I83" s="432">
        <f t="shared" si="34"/>
        <v>1592</v>
      </c>
      <c r="J83" s="431">
        <f t="shared" si="34"/>
        <v>460</v>
      </c>
      <c r="K83" s="431">
        <f t="shared" si="34"/>
        <v>12</v>
      </c>
      <c r="L83" s="431">
        <f t="shared" si="34"/>
        <v>1025</v>
      </c>
      <c r="M83" s="431">
        <f t="shared" si="34"/>
        <v>90</v>
      </c>
      <c r="N83" s="431">
        <f t="shared" si="34"/>
        <v>0</v>
      </c>
      <c r="O83" s="431">
        <f t="shared" si="34"/>
        <v>0</v>
      </c>
      <c r="P83" s="431">
        <f t="shared" si="34"/>
        <v>5</v>
      </c>
      <c r="Q83" s="432">
        <f t="shared" si="34"/>
        <v>431</v>
      </c>
      <c r="R83" s="415">
        <f t="shared" si="14"/>
        <v>1551</v>
      </c>
      <c r="S83" s="412">
        <f t="shared" si="31"/>
        <v>0.2964824120603015</v>
      </c>
      <c r="T83" s="413">
        <f t="shared" si="32"/>
        <v>0</v>
      </c>
    </row>
    <row r="84" spans="1:20" s="414" customFormat="1" ht="23.25" customHeight="1">
      <c r="A84" s="463" t="s">
        <v>572</v>
      </c>
      <c r="B84" s="448" t="s">
        <v>516</v>
      </c>
      <c r="C84" s="441">
        <f t="shared" si="33"/>
        <v>43</v>
      </c>
      <c r="D84" s="467">
        <v>32</v>
      </c>
      <c r="E84" s="467">
        <v>11</v>
      </c>
      <c r="F84" s="467">
        <v>1</v>
      </c>
      <c r="G84" s="467">
        <v>0</v>
      </c>
      <c r="H84" s="441">
        <f aca="true" t="shared" si="35" ref="H84:H92">SUM(I84,Q84)</f>
        <v>42</v>
      </c>
      <c r="I84" s="441">
        <f aca="true" t="shared" si="36" ref="I84:I92">SUM(J84:P84)</f>
        <v>24</v>
      </c>
      <c r="J84" s="467">
        <v>11</v>
      </c>
      <c r="K84" s="467">
        <v>0</v>
      </c>
      <c r="L84" s="467">
        <v>13</v>
      </c>
      <c r="M84" s="467">
        <v>0</v>
      </c>
      <c r="N84" s="467">
        <v>0</v>
      </c>
      <c r="O84" s="467">
        <v>0</v>
      </c>
      <c r="P84" s="467">
        <v>0</v>
      </c>
      <c r="Q84" s="468">
        <v>18</v>
      </c>
      <c r="R84" s="441">
        <f t="shared" si="14"/>
        <v>31</v>
      </c>
      <c r="S84" s="438">
        <f t="shared" si="31"/>
        <v>0.4583333333333333</v>
      </c>
      <c r="T84" s="439">
        <f t="shared" si="32"/>
        <v>0</v>
      </c>
    </row>
    <row r="85" spans="1:20" s="414" customFormat="1" ht="23.25" customHeight="1">
      <c r="A85" s="463" t="s">
        <v>598</v>
      </c>
      <c r="B85" s="448" t="s">
        <v>517</v>
      </c>
      <c r="C85" s="441">
        <f t="shared" si="33"/>
        <v>249</v>
      </c>
      <c r="D85" s="467">
        <v>205</v>
      </c>
      <c r="E85" s="467">
        <v>44</v>
      </c>
      <c r="F85" s="467">
        <v>0</v>
      </c>
      <c r="G85" s="467">
        <v>0</v>
      </c>
      <c r="H85" s="441">
        <f t="shared" si="35"/>
        <v>249</v>
      </c>
      <c r="I85" s="441">
        <f t="shared" si="36"/>
        <v>223</v>
      </c>
      <c r="J85" s="467">
        <v>54</v>
      </c>
      <c r="K85" s="467">
        <v>3</v>
      </c>
      <c r="L85" s="467">
        <v>166</v>
      </c>
      <c r="M85" s="467">
        <v>0</v>
      </c>
      <c r="N85" s="467">
        <v>0</v>
      </c>
      <c r="O85" s="467">
        <v>0</v>
      </c>
      <c r="P85" s="467">
        <v>0</v>
      </c>
      <c r="Q85" s="468">
        <v>26</v>
      </c>
      <c r="R85" s="441">
        <f t="shared" si="14"/>
        <v>192</v>
      </c>
      <c r="S85" s="438">
        <f t="shared" si="31"/>
        <v>0.2556053811659193</v>
      </c>
      <c r="T85" s="439">
        <f t="shared" si="32"/>
        <v>0</v>
      </c>
    </row>
    <row r="86" spans="1:20" s="414" customFormat="1" ht="23.25" customHeight="1">
      <c r="A86" s="463" t="s">
        <v>573</v>
      </c>
      <c r="B86" s="448" t="s">
        <v>518</v>
      </c>
      <c r="C86" s="441">
        <f t="shared" si="33"/>
        <v>292</v>
      </c>
      <c r="D86" s="467">
        <v>230</v>
      </c>
      <c r="E86" s="467">
        <v>62</v>
      </c>
      <c r="F86" s="467">
        <v>1</v>
      </c>
      <c r="G86" s="467">
        <v>0</v>
      </c>
      <c r="H86" s="441">
        <f t="shared" si="35"/>
        <v>291</v>
      </c>
      <c r="I86" s="441">
        <f t="shared" si="36"/>
        <v>263</v>
      </c>
      <c r="J86" s="467">
        <v>63</v>
      </c>
      <c r="K86" s="467">
        <v>2</v>
      </c>
      <c r="L86" s="467">
        <v>149</v>
      </c>
      <c r="M86" s="467">
        <v>48</v>
      </c>
      <c r="N86" s="467">
        <v>0</v>
      </c>
      <c r="O86" s="467">
        <v>0</v>
      </c>
      <c r="P86" s="467">
        <v>1</v>
      </c>
      <c r="Q86" s="468">
        <v>28</v>
      </c>
      <c r="R86" s="441">
        <f t="shared" si="14"/>
        <v>226</v>
      </c>
      <c r="S86" s="438">
        <f t="shared" si="31"/>
        <v>0.24714828897338403</v>
      </c>
      <c r="T86" s="439">
        <f t="shared" si="32"/>
        <v>0</v>
      </c>
    </row>
    <row r="87" spans="1:20" s="414" customFormat="1" ht="23.25" customHeight="1">
      <c r="A87" s="463" t="s">
        <v>574</v>
      </c>
      <c r="B87" s="448" t="s">
        <v>519</v>
      </c>
      <c r="C87" s="441">
        <f t="shared" si="33"/>
        <v>216</v>
      </c>
      <c r="D87" s="467">
        <v>170</v>
      </c>
      <c r="E87" s="467">
        <v>46</v>
      </c>
      <c r="F87" s="467">
        <v>1</v>
      </c>
      <c r="G87" s="467">
        <v>0</v>
      </c>
      <c r="H87" s="441">
        <f t="shared" si="35"/>
        <v>215</v>
      </c>
      <c r="I87" s="441">
        <f t="shared" si="36"/>
        <v>127</v>
      </c>
      <c r="J87" s="467">
        <v>40</v>
      </c>
      <c r="K87" s="467">
        <v>0</v>
      </c>
      <c r="L87" s="467">
        <v>85</v>
      </c>
      <c r="M87" s="467">
        <v>0</v>
      </c>
      <c r="N87" s="467">
        <v>0</v>
      </c>
      <c r="O87" s="467">
        <v>0</v>
      </c>
      <c r="P87" s="467">
        <v>2</v>
      </c>
      <c r="Q87" s="468">
        <v>88</v>
      </c>
      <c r="R87" s="441">
        <f t="shared" si="14"/>
        <v>175</v>
      </c>
      <c r="S87" s="438">
        <f t="shared" si="31"/>
        <v>0.31496062992125984</v>
      </c>
      <c r="T87" s="439">
        <f t="shared" si="32"/>
        <v>0</v>
      </c>
    </row>
    <row r="88" spans="1:20" s="414" customFormat="1" ht="23.25" customHeight="1">
      <c r="A88" s="463" t="s">
        <v>575</v>
      </c>
      <c r="B88" s="448" t="s">
        <v>520</v>
      </c>
      <c r="C88" s="441">
        <f t="shared" si="33"/>
        <v>270</v>
      </c>
      <c r="D88" s="467">
        <v>190</v>
      </c>
      <c r="E88" s="467">
        <v>80</v>
      </c>
      <c r="F88" s="467">
        <v>2</v>
      </c>
      <c r="G88" s="467">
        <v>0</v>
      </c>
      <c r="H88" s="441">
        <f t="shared" si="35"/>
        <v>268</v>
      </c>
      <c r="I88" s="441">
        <f t="shared" si="36"/>
        <v>244</v>
      </c>
      <c r="J88" s="467">
        <v>76</v>
      </c>
      <c r="K88" s="467">
        <v>0</v>
      </c>
      <c r="L88" s="467">
        <v>167</v>
      </c>
      <c r="M88" s="467">
        <v>1</v>
      </c>
      <c r="N88" s="467">
        <v>0</v>
      </c>
      <c r="O88" s="467">
        <v>0</v>
      </c>
      <c r="P88" s="467">
        <v>0</v>
      </c>
      <c r="Q88" s="468">
        <v>24</v>
      </c>
      <c r="R88" s="441">
        <f t="shared" si="14"/>
        <v>192</v>
      </c>
      <c r="S88" s="438">
        <f t="shared" si="31"/>
        <v>0.3114754098360656</v>
      </c>
      <c r="T88" s="439">
        <f t="shared" si="32"/>
        <v>0</v>
      </c>
    </row>
    <row r="89" spans="1:20" s="414" customFormat="1" ht="23.25" customHeight="1">
      <c r="A89" s="463" t="s">
        <v>576</v>
      </c>
      <c r="B89" s="448" t="s">
        <v>522</v>
      </c>
      <c r="C89" s="441">
        <f t="shared" si="33"/>
        <v>223</v>
      </c>
      <c r="D89" s="467">
        <v>144</v>
      </c>
      <c r="E89" s="467">
        <v>79</v>
      </c>
      <c r="F89" s="467">
        <v>3</v>
      </c>
      <c r="G89" s="467">
        <v>0</v>
      </c>
      <c r="H89" s="441">
        <f t="shared" si="35"/>
        <v>220</v>
      </c>
      <c r="I89" s="441">
        <f t="shared" si="36"/>
        <v>159</v>
      </c>
      <c r="J89" s="467">
        <v>60</v>
      </c>
      <c r="K89" s="467">
        <v>0</v>
      </c>
      <c r="L89" s="467">
        <v>56</v>
      </c>
      <c r="M89" s="467">
        <v>41</v>
      </c>
      <c r="N89" s="467">
        <v>0</v>
      </c>
      <c r="O89" s="467">
        <v>0</v>
      </c>
      <c r="P89" s="467">
        <v>2</v>
      </c>
      <c r="Q89" s="468">
        <v>61</v>
      </c>
      <c r="R89" s="441">
        <f t="shared" si="14"/>
        <v>160</v>
      </c>
      <c r="S89" s="438">
        <f t="shared" si="31"/>
        <v>0.37735849056603776</v>
      </c>
      <c r="T89" s="439">
        <f t="shared" si="32"/>
        <v>0</v>
      </c>
    </row>
    <row r="90" spans="1:20" s="414" customFormat="1" ht="23.25" customHeight="1">
      <c r="A90" s="463" t="s">
        <v>521</v>
      </c>
      <c r="B90" s="448" t="s">
        <v>524</v>
      </c>
      <c r="C90" s="441">
        <f t="shared" si="33"/>
        <v>298</v>
      </c>
      <c r="D90" s="469">
        <v>227</v>
      </c>
      <c r="E90" s="469">
        <v>71</v>
      </c>
      <c r="F90" s="469">
        <v>0</v>
      </c>
      <c r="G90" s="469">
        <v>0</v>
      </c>
      <c r="H90" s="441">
        <f t="shared" si="35"/>
        <v>298</v>
      </c>
      <c r="I90" s="441">
        <f t="shared" si="36"/>
        <v>295</v>
      </c>
      <c r="J90" s="469">
        <v>70</v>
      </c>
      <c r="K90" s="469">
        <v>2</v>
      </c>
      <c r="L90" s="469">
        <v>223</v>
      </c>
      <c r="M90" s="469">
        <v>0</v>
      </c>
      <c r="N90" s="469">
        <v>0</v>
      </c>
      <c r="O90" s="469">
        <v>0</v>
      </c>
      <c r="P90" s="469">
        <v>0</v>
      </c>
      <c r="Q90" s="470">
        <v>3</v>
      </c>
      <c r="R90" s="441">
        <f t="shared" si="14"/>
        <v>226</v>
      </c>
      <c r="S90" s="438">
        <f t="shared" si="31"/>
        <v>0.2440677966101695</v>
      </c>
      <c r="T90" s="439">
        <f t="shared" si="32"/>
        <v>0</v>
      </c>
    </row>
    <row r="91" spans="1:20" s="414" customFormat="1" ht="23.25" customHeight="1">
      <c r="A91" s="463" t="s">
        <v>523</v>
      </c>
      <c r="B91" s="471" t="s">
        <v>526</v>
      </c>
      <c r="C91" s="441">
        <f t="shared" si="33"/>
        <v>210</v>
      </c>
      <c r="D91" s="467">
        <v>160</v>
      </c>
      <c r="E91" s="467">
        <v>50</v>
      </c>
      <c r="F91" s="467">
        <v>1</v>
      </c>
      <c r="G91" s="467">
        <v>0</v>
      </c>
      <c r="H91" s="441">
        <f t="shared" si="35"/>
        <v>209</v>
      </c>
      <c r="I91" s="441">
        <f t="shared" si="36"/>
        <v>85</v>
      </c>
      <c r="J91" s="467">
        <v>33</v>
      </c>
      <c r="K91" s="467">
        <v>1</v>
      </c>
      <c r="L91" s="467">
        <v>51</v>
      </c>
      <c r="M91" s="467">
        <v>0</v>
      </c>
      <c r="N91" s="467">
        <v>0</v>
      </c>
      <c r="O91" s="467">
        <v>0</v>
      </c>
      <c r="P91" s="467">
        <v>0</v>
      </c>
      <c r="Q91" s="468">
        <v>124</v>
      </c>
      <c r="R91" s="441">
        <f t="shared" si="14"/>
        <v>175</v>
      </c>
      <c r="S91" s="438">
        <f t="shared" si="31"/>
        <v>0.4</v>
      </c>
      <c r="T91" s="439">
        <f t="shared" si="32"/>
        <v>0</v>
      </c>
    </row>
    <row r="92" spans="1:20" s="414" customFormat="1" ht="23.25" customHeight="1">
      <c r="A92" s="463" t="s">
        <v>525</v>
      </c>
      <c r="B92" s="471" t="s">
        <v>528</v>
      </c>
      <c r="C92" s="441">
        <f t="shared" si="33"/>
        <v>231</v>
      </c>
      <c r="D92" s="467">
        <v>171</v>
      </c>
      <c r="E92" s="467">
        <v>60</v>
      </c>
      <c r="F92" s="467">
        <v>0</v>
      </c>
      <c r="G92" s="467">
        <v>0</v>
      </c>
      <c r="H92" s="441">
        <f t="shared" si="35"/>
        <v>231</v>
      </c>
      <c r="I92" s="441">
        <f t="shared" si="36"/>
        <v>172</v>
      </c>
      <c r="J92" s="467">
        <v>53</v>
      </c>
      <c r="K92" s="467">
        <v>4</v>
      </c>
      <c r="L92" s="467">
        <v>115</v>
      </c>
      <c r="M92" s="467">
        <v>0</v>
      </c>
      <c r="N92" s="467">
        <v>0</v>
      </c>
      <c r="O92" s="467">
        <v>0</v>
      </c>
      <c r="P92" s="467">
        <v>0</v>
      </c>
      <c r="Q92" s="468">
        <v>59</v>
      </c>
      <c r="R92" s="441">
        <f t="shared" si="14"/>
        <v>174</v>
      </c>
      <c r="S92" s="438">
        <f t="shared" si="31"/>
        <v>0.3313953488372093</v>
      </c>
      <c r="T92" s="439">
        <f t="shared" si="32"/>
        <v>0</v>
      </c>
    </row>
    <row r="93" spans="1:20" s="414" customFormat="1" ht="23.25" customHeight="1">
      <c r="A93" s="407">
        <v>11</v>
      </c>
      <c r="B93" s="408" t="s">
        <v>529</v>
      </c>
      <c r="C93" s="426">
        <f aca="true" t="shared" si="37" ref="C93:Q93">SUM(C94:C96)</f>
        <v>113</v>
      </c>
      <c r="D93" s="427">
        <f t="shared" si="37"/>
        <v>50</v>
      </c>
      <c r="E93" s="427">
        <f t="shared" si="37"/>
        <v>63</v>
      </c>
      <c r="F93" s="427">
        <f t="shared" si="37"/>
        <v>4</v>
      </c>
      <c r="G93" s="427">
        <f t="shared" si="37"/>
        <v>0</v>
      </c>
      <c r="H93" s="426">
        <f t="shared" si="37"/>
        <v>109</v>
      </c>
      <c r="I93" s="426">
        <f t="shared" si="37"/>
        <v>71</v>
      </c>
      <c r="J93" s="427">
        <f t="shared" si="37"/>
        <v>51</v>
      </c>
      <c r="K93" s="427">
        <f t="shared" si="37"/>
        <v>0</v>
      </c>
      <c r="L93" s="427">
        <f t="shared" si="37"/>
        <v>17</v>
      </c>
      <c r="M93" s="427">
        <f t="shared" si="37"/>
        <v>0</v>
      </c>
      <c r="N93" s="427">
        <f t="shared" si="37"/>
        <v>0</v>
      </c>
      <c r="O93" s="427">
        <f t="shared" si="37"/>
        <v>0</v>
      </c>
      <c r="P93" s="428">
        <f t="shared" si="37"/>
        <v>3</v>
      </c>
      <c r="Q93" s="429">
        <f t="shared" si="37"/>
        <v>38</v>
      </c>
      <c r="R93" s="415">
        <f t="shared" si="14"/>
        <v>58</v>
      </c>
      <c r="S93" s="412">
        <f t="shared" si="31"/>
        <v>0.7183098591549296</v>
      </c>
      <c r="T93" s="413">
        <f t="shared" si="32"/>
        <v>0</v>
      </c>
    </row>
    <row r="94" spans="1:20" s="414" customFormat="1" ht="23.25" customHeight="1">
      <c r="A94" s="448" t="s">
        <v>530</v>
      </c>
      <c r="B94" s="451" t="s">
        <v>531</v>
      </c>
      <c r="C94" s="437">
        <f aca="true" t="shared" si="38" ref="C94:C99">D94+E94</f>
        <v>20</v>
      </c>
      <c r="D94" s="452">
        <v>1</v>
      </c>
      <c r="E94" s="452">
        <v>19</v>
      </c>
      <c r="F94" s="452">
        <v>3</v>
      </c>
      <c r="G94" s="452"/>
      <c r="H94" s="437">
        <f>I94+Q94</f>
        <v>17</v>
      </c>
      <c r="I94" s="437">
        <f>J94+K94+L94+M94+N94+O94+P94</f>
        <v>17</v>
      </c>
      <c r="J94" s="452">
        <v>16</v>
      </c>
      <c r="K94" s="452"/>
      <c r="L94" s="452">
        <v>1</v>
      </c>
      <c r="M94" s="452"/>
      <c r="N94" s="452"/>
      <c r="O94" s="452"/>
      <c r="P94" s="453"/>
      <c r="Q94" s="455"/>
      <c r="R94" s="441">
        <f t="shared" si="14"/>
        <v>1</v>
      </c>
      <c r="S94" s="438">
        <f t="shared" si="31"/>
        <v>0.9411764705882353</v>
      </c>
      <c r="T94" s="439">
        <f t="shared" si="32"/>
        <v>0</v>
      </c>
    </row>
    <row r="95" spans="1:20" s="414" customFormat="1" ht="23.25" customHeight="1">
      <c r="A95" s="448" t="s">
        <v>532</v>
      </c>
      <c r="B95" s="451" t="s">
        <v>533</v>
      </c>
      <c r="C95" s="437">
        <f t="shared" si="38"/>
        <v>58</v>
      </c>
      <c r="D95" s="452">
        <v>28</v>
      </c>
      <c r="E95" s="452">
        <v>30</v>
      </c>
      <c r="F95" s="452"/>
      <c r="G95" s="452"/>
      <c r="H95" s="437">
        <f>I95+Q95</f>
        <v>58</v>
      </c>
      <c r="I95" s="437">
        <f>J95+K95+L95+M95+N95+O95+P95</f>
        <v>36</v>
      </c>
      <c r="J95" s="452">
        <v>26</v>
      </c>
      <c r="K95" s="452"/>
      <c r="L95" s="452">
        <v>8</v>
      </c>
      <c r="M95" s="452"/>
      <c r="N95" s="452"/>
      <c r="O95" s="452"/>
      <c r="P95" s="453">
        <v>2</v>
      </c>
      <c r="Q95" s="455">
        <v>22</v>
      </c>
      <c r="R95" s="441">
        <f t="shared" si="14"/>
        <v>32</v>
      </c>
      <c r="S95" s="438">
        <f t="shared" si="31"/>
        <v>0.7222222222222222</v>
      </c>
      <c r="T95" s="439">
        <f t="shared" si="32"/>
        <v>0</v>
      </c>
    </row>
    <row r="96" spans="1:20" s="414" customFormat="1" ht="23.25" customHeight="1">
      <c r="A96" s="448" t="s">
        <v>534</v>
      </c>
      <c r="B96" s="451" t="s">
        <v>535</v>
      </c>
      <c r="C96" s="437">
        <f t="shared" si="38"/>
        <v>35</v>
      </c>
      <c r="D96" s="452">
        <v>21</v>
      </c>
      <c r="E96" s="452">
        <v>14</v>
      </c>
      <c r="F96" s="452">
        <v>1</v>
      </c>
      <c r="G96" s="452"/>
      <c r="H96" s="437">
        <f>I96+Q96</f>
        <v>34</v>
      </c>
      <c r="I96" s="437">
        <f>J96+K96+L96+M96+N96+O96+P96</f>
        <v>18</v>
      </c>
      <c r="J96" s="452">
        <v>9</v>
      </c>
      <c r="K96" s="452"/>
      <c r="L96" s="452">
        <v>8</v>
      </c>
      <c r="M96" s="452"/>
      <c r="N96" s="452"/>
      <c r="O96" s="452"/>
      <c r="P96" s="453">
        <v>1</v>
      </c>
      <c r="Q96" s="455">
        <v>16</v>
      </c>
      <c r="R96" s="441">
        <f t="shared" si="14"/>
        <v>25</v>
      </c>
      <c r="S96" s="438">
        <f t="shared" si="31"/>
        <v>0.5</v>
      </c>
      <c r="T96" s="439">
        <f t="shared" si="32"/>
        <v>0</v>
      </c>
    </row>
    <row r="97" spans="1:20" s="414" customFormat="1" ht="23.25" customHeight="1">
      <c r="A97" s="407">
        <v>12</v>
      </c>
      <c r="B97" s="408" t="s">
        <v>536</v>
      </c>
      <c r="C97" s="418">
        <f t="shared" si="38"/>
        <v>350</v>
      </c>
      <c r="D97" s="419">
        <f>D98+D99</f>
        <v>111</v>
      </c>
      <c r="E97" s="419">
        <f>E98+E99</f>
        <v>239</v>
      </c>
      <c r="F97" s="420"/>
      <c r="G97" s="420"/>
      <c r="H97" s="418">
        <f>C97</f>
        <v>350</v>
      </c>
      <c r="I97" s="418">
        <f>H97-Q97</f>
        <v>264</v>
      </c>
      <c r="J97" s="419">
        <f>J98+J99</f>
        <v>168</v>
      </c>
      <c r="K97" s="419">
        <f aca="true" t="shared" si="39" ref="K97:P97">K98+K99</f>
        <v>0</v>
      </c>
      <c r="L97" s="419">
        <f>I97-J97-K97</f>
        <v>96</v>
      </c>
      <c r="M97" s="419">
        <f t="shared" si="39"/>
        <v>0</v>
      </c>
      <c r="N97" s="419">
        <f t="shared" si="39"/>
        <v>0</v>
      </c>
      <c r="O97" s="419">
        <f t="shared" si="39"/>
        <v>0</v>
      </c>
      <c r="P97" s="419">
        <f t="shared" si="39"/>
        <v>0</v>
      </c>
      <c r="Q97" s="418">
        <f>Q98+Q99</f>
        <v>86</v>
      </c>
      <c r="R97" s="415">
        <f aca="true" t="shared" si="40" ref="R97:R117">SUM(L97:Q97)</f>
        <v>182</v>
      </c>
      <c r="S97" s="412">
        <f t="shared" si="31"/>
        <v>0.6363636363636364</v>
      </c>
      <c r="T97" s="413">
        <f t="shared" si="32"/>
        <v>0</v>
      </c>
    </row>
    <row r="98" spans="1:20" s="414" customFormat="1" ht="23.25" customHeight="1">
      <c r="A98" s="443">
        <v>12.1</v>
      </c>
      <c r="B98" s="451" t="s">
        <v>581</v>
      </c>
      <c r="C98" s="472">
        <f t="shared" si="38"/>
        <v>166</v>
      </c>
      <c r="D98" s="474" t="s">
        <v>537</v>
      </c>
      <c r="E98" s="475" t="s">
        <v>605</v>
      </c>
      <c r="F98" s="474"/>
      <c r="G98" s="474"/>
      <c r="H98" s="472">
        <f>C98</f>
        <v>166</v>
      </c>
      <c r="I98" s="472">
        <f>H98-Q98</f>
        <v>132</v>
      </c>
      <c r="J98" s="475" t="s">
        <v>606</v>
      </c>
      <c r="K98" s="474"/>
      <c r="L98" s="473">
        <v>44</v>
      </c>
      <c r="M98" s="474"/>
      <c r="N98" s="474"/>
      <c r="O98" s="474"/>
      <c r="P98" s="476"/>
      <c r="Q98" s="477" t="s">
        <v>538</v>
      </c>
      <c r="R98" s="441">
        <f t="shared" si="40"/>
        <v>44</v>
      </c>
      <c r="S98" s="438">
        <f t="shared" si="31"/>
        <v>0.6666666666666666</v>
      </c>
      <c r="T98" s="439">
        <f t="shared" si="32"/>
        <v>0</v>
      </c>
    </row>
    <row r="99" spans="1:20" s="414" customFormat="1" ht="23.25" customHeight="1">
      <c r="A99" s="443">
        <v>12.2</v>
      </c>
      <c r="B99" s="451" t="s">
        <v>539</v>
      </c>
      <c r="C99" s="472">
        <f t="shared" si="38"/>
        <v>184</v>
      </c>
      <c r="D99" s="474" t="s">
        <v>540</v>
      </c>
      <c r="E99" s="475" t="s">
        <v>607</v>
      </c>
      <c r="F99" s="474"/>
      <c r="G99" s="474"/>
      <c r="H99" s="472">
        <f>C99</f>
        <v>184</v>
      </c>
      <c r="I99" s="472">
        <f>H99-Q99</f>
        <v>132</v>
      </c>
      <c r="J99" s="475" t="s">
        <v>558</v>
      </c>
      <c r="K99" s="474"/>
      <c r="L99" s="473">
        <v>52</v>
      </c>
      <c r="M99" s="474"/>
      <c r="N99" s="474"/>
      <c r="O99" s="474"/>
      <c r="P99" s="476"/>
      <c r="Q99" s="477" t="s">
        <v>541</v>
      </c>
      <c r="R99" s="441">
        <f t="shared" si="40"/>
        <v>52</v>
      </c>
      <c r="S99" s="438">
        <f t="shared" si="31"/>
        <v>0.6060606060606061</v>
      </c>
      <c r="T99" s="439">
        <f t="shared" si="32"/>
        <v>0</v>
      </c>
    </row>
    <row r="100" spans="1:20" s="414" customFormat="1" ht="23.25" customHeight="1">
      <c r="A100" s="407">
        <v>13</v>
      </c>
      <c r="B100" s="408" t="s">
        <v>542</v>
      </c>
      <c r="C100" s="409">
        <f>C101+C102+C103+C104+C105+C106+C107+C108</f>
        <v>3184</v>
      </c>
      <c r="D100" s="410">
        <f aca="true" t="shared" si="41" ref="D100:Q100">D101+D102+D103+D104+D105+D106+D107+D108</f>
        <v>2265</v>
      </c>
      <c r="E100" s="410">
        <f t="shared" si="41"/>
        <v>919</v>
      </c>
      <c r="F100" s="410">
        <f t="shared" si="41"/>
        <v>8</v>
      </c>
      <c r="G100" s="410">
        <f t="shared" si="41"/>
        <v>0</v>
      </c>
      <c r="H100" s="409">
        <f t="shared" si="41"/>
        <v>3176</v>
      </c>
      <c r="I100" s="409">
        <f t="shared" si="41"/>
        <v>2259</v>
      </c>
      <c r="J100" s="410">
        <f t="shared" si="41"/>
        <v>731</v>
      </c>
      <c r="K100" s="410">
        <f t="shared" si="41"/>
        <v>12</v>
      </c>
      <c r="L100" s="410">
        <f t="shared" si="41"/>
        <v>1516</v>
      </c>
      <c r="M100" s="410">
        <f t="shared" si="41"/>
        <v>0</v>
      </c>
      <c r="N100" s="410">
        <f t="shared" si="41"/>
        <v>0</v>
      </c>
      <c r="O100" s="410">
        <f t="shared" si="41"/>
        <v>0</v>
      </c>
      <c r="P100" s="410">
        <f t="shared" si="41"/>
        <v>0</v>
      </c>
      <c r="Q100" s="409">
        <f t="shared" si="41"/>
        <v>917</v>
      </c>
      <c r="R100" s="415">
        <f t="shared" si="40"/>
        <v>2433</v>
      </c>
      <c r="S100" s="412">
        <f t="shared" si="31"/>
        <v>0.3289065958388668</v>
      </c>
      <c r="T100" s="413">
        <f t="shared" si="32"/>
        <v>0</v>
      </c>
    </row>
    <row r="101" spans="1:20" s="414" customFormat="1" ht="23.25" customHeight="1">
      <c r="A101" s="443">
        <v>13.1</v>
      </c>
      <c r="B101" s="448" t="s">
        <v>543</v>
      </c>
      <c r="C101" s="445">
        <f>D101+E101</f>
        <v>206</v>
      </c>
      <c r="D101" s="446">
        <v>41</v>
      </c>
      <c r="E101" s="446">
        <v>165</v>
      </c>
      <c r="F101" s="446">
        <v>8</v>
      </c>
      <c r="G101" s="446">
        <v>0</v>
      </c>
      <c r="H101" s="445">
        <f>I101+Q101</f>
        <v>198</v>
      </c>
      <c r="I101" s="445">
        <f>J101+K101+L101+M101+N101+O101+P101</f>
        <v>196</v>
      </c>
      <c r="J101" s="446">
        <v>124</v>
      </c>
      <c r="K101" s="446">
        <v>0</v>
      </c>
      <c r="L101" s="446">
        <v>72</v>
      </c>
      <c r="M101" s="446">
        <v>0</v>
      </c>
      <c r="N101" s="446">
        <v>0</v>
      </c>
      <c r="O101" s="446">
        <v>0</v>
      </c>
      <c r="P101" s="449">
        <v>0</v>
      </c>
      <c r="Q101" s="447">
        <v>2</v>
      </c>
      <c r="R101" s="441">
        <f t="shared" si="40"/>
        <v>74</v>
      </c>
      <c r="S101" s="438">
        <f t="shared" si="31"/>
        <v>0.6326530612244898</v>
      </c>
      <c r="T101" s="439">
        <f t="shared" si="32"/>
        <v>0</v>
      </c>
    </row>
    <row r="102" spans="1:20" s="414" customFormat="1" ht="23.25" customHeight="1">
      <c r="A102" s="443">
        <v>13.2</v>
      </c>
      <c r="B102" s="448" t="s">
        <v>544</v>
      </c>
      <c r="C102" s="445">
        <f aca="true" t="shared" si="42" ref="C102:C108">D102+E102</f>
        <v>346</v>
      </c>
      <c r="D102" s="446">
        <v>266</v>
      </c>
      <c r="E102" s="446">
        <v>80</v>
      </c>
      <c r="F102" s="446">
        <v>0</v>
      </c>
      <c r="G102" s="446">
        <v>0</v>
      </c>
      <c r="H102" s="445">
        <f aca="true" t="shared" si="43" ref="H102:H108">I102+Q102</f>
        <v>346</v>
      </c>
      <c r="I102" s="445">
        <f aca="true" t="shared" si="44" ref="I102:I108">J102+K102+L102+M102+N102+O102+P102</f>
        <v>267</v>
      </c>
      <c r="J102" s="446">
        <v>62</v>
      </c>
      <c r="K102" s="446">
        <v>2</v>
      </c>
      <c r="L102" s="446">
        <v>203</v>
      </c>
      <c r="M102" s="446">
        <v>0</v>
      </c>
      <c r="N102" s="446">
        <v>0</v>
      </c>
      <c r="O102" s="446">
        <v>0</v>
      </c>
      <c r="P102" s="449">
        <v>0</v>
      </c>
      <c r="Q102" s="447">
        <v>79</v>
      </c>
      <c r="R102" s="441">
        <f t="shared" si="40"/>
        <v>282</v>
      </c>
      <c r="S102" s="438">
        <f t="shared" si="31"/>
        <v>0.2397003745318352</v>
      </c>
      <c r="T102" s="439">
        <f t="shared" si="32"/>
        <v>0</v>
      </c>
    </row>
    <row r="103" spans="1:20" s="414" customFormat="1" ht="23.25" customHeight="1">
      <c r="A103" s="443">
        <v>13.4</v>
      </c>
      <c r="B103" s="448" t="s">
        <v>545</v>
      </c>
      <c r="C103" s="445">
        <f t="shared" si="42"/>
        <v>488</v>
      </c>
      <c r="D103" s="446">
        <v>359</v>
      </c>
      <c r="E103" s="446">
        <v>129</v>
      </c>
      <c r="F103" s="446">
        <v>0</v>
      </c>
      <c r="G103" s="446">
        <v>0</v>
      </c>
      <c r="H103" s="445">
        <f t="shared" si="43"/>
        <v>488</v>
      </c>
      <c r="I103" s="445">
        <f t="shared" si="44"/>
        <v>276</v>
      </c>
      <c r="J103" s="446">
        <v>86</v>
      </c>
      <c r="K103" s="446">
        <v>5</v>
      </c>
      <c r="L103" s="446">
        <v>185</v>
      </c>
      <c r="M103" s="446">
        <v>0</v>
      </c>
      <c r="N103" s="446">
        <v>0</v>
      </c>
      <c r="O103" s="446">
        <v>0</v>
      </c>
      <c r="P103" s="449">
        <v>0</v>
      </c>
      <c r="Q103" s="447">
        <v>212</v>
      </c>
      <c r="R103" s="441">
        <f t="shared" si="40"/>
        <v>397</v>
      </c>
      <c r="S103" s="438">
        <f t="shared" si="31"/>
        <v>0.32971014492753625</v>
      </c>
      <c r="T103" s="439">
        <f t="shared" si="32"/>
        <v>0</v>
      </c>
    </row>
    <row r="104" spans="1:20" s="414" customFormat="1" ht="23.25" customHeight="1">
      <c r="A104" s="443">
        <v>13.5</v>
      </c>
      <c r="B104" s="448" t="s">
        <v>546</v>
      </c>
      <c r="C104" s="445">
        <f t="shared" si="42"/>
        <v>497</v>
      </c>
      <c r="D104" s="446">
        <v>373</v>
      </c>
      <c r="E104" s="446">
        <v>124</v>
      </c>
      <c r="F104" s="446">
        <v>0</v>
      </c>
      <c r="G104" s="446">
        <v>0</v>
      </c>
      <c r="H104" s="445">
        <f t="shared" si="43"/>
        <v>497</v>
      </c>
      <c r="I104" s="445">
        <f t="shared" si="44"/>
        <v>377</v>
      </c>
      <c r="J104" s="446">
        <v>99</v>
      </c>
      <c r="K104" s="446">
        <v>1</v>
      </c>
      <c r="L104" s="446">
        <v>277</v>
      </c>
      <c r="M104" s="446">
        <v>0</v>
      </c>
      <c r="N104" s="446">
        <v>0</v>
      </c>
      <c r="O104" s="446">
        <v>0</v>
      </c>
      <c r="P104" s="449">
        <v>0</v>
      </c>
      <c r="Q104" s="447">
        <v>120</v>
      </c>
      <c r="R104" s="441">
        <f t="shared" si="40"/>
        <v>397</v>
      </c>
      <c r="S104" s="438">
        <f t="shared" si="31"/>
        <v>0.26525198938992045</v>
      </c>
      <c r="T104" s="439">
        <f t="shared" si="32"/>
        <v>0</v>
      </c>
    </row>
    <row r="105" spans="1:20" s="414" customFormat="1" ht="23.25" customHeight="1">
      <c r="A105" s="443">
        <v>13.6</v>
      </c>
      <c r="B105" s="448" t="s">
        <v>547</v>
      </c>
      <c r="C105" s="445">
        <f t="shared" si="42"/>
        <v>355</v>
      </c>
      <c r="D105" s="446">
        <v>267</v>
      </c>
      <c r="E105" s="446">
        <v>88</v>
      </c>
      <c r="F105" s="446">
        <v>0</v>
      </c>
      <c r="G105" s="446">
        <v>0</v>
      </c>
      <c r="H105" s="445">
        <f t="shared" si="43"/>
        <v>355</v>
      </c>
      <c r="I105" s="445">
        <f t="shared" si="44"/>
        <v>234</v>
      </c>
      <c r="J105" s="446">
        <v>83</v>
      </c>
      <c r="K105" s="446">
        <v>1</v>
      </c>
      <c r="L105" s="446">
        <v>150</v>
      </c>
      <c r="M105" s="446">
        <v>0</v>
      </c>
      <c r="N105" s="446">
        <v>0</v>
      </c>
      <c r="O105" s="446">
        <v>0</v>
      </c>
      <c r="P105" s="449">
        <v>0</v>
      </c>
      <c r="Q105" s="447">
        <v>121</v>
      </c>
      <c r="R105" s="441">
        <f t="shared" si="40"/>
        <v>271</v>
      </c>
      <c r="S105" s="438">
        <f t="shared" si="31"/>
        <v>0.358974358974359</v>
      </c>
      <c r="T105" s="439">
        <f t="shared" si="32"/>
        <v>0</v>
      </c>
    </row>
    <row r="106" spans="1:20" s="414" customFormat="1" ht="23.25" customHeight="1">
      <c r="A106" s="443">
        <v>13.7</v>
      </c>
      <c r="B106" s="448" t="s">
        <v>548</v>
      </c>
      <c r="C106" s="445">
        <f t="shared" si="42"/>
        <v>383</v>
      </c>
      <c r="D106" s="446">
        <v>281</v>
      </c>
      <c r="E106" s="446">
        <v>102</v>
      </c>
      <c r="F106" s="446">
        <v>0</v>
      </c>
      <c r="G106" s="446">
        <v>0</v>
      </c>
      <c r="H106" s="445">
        <f t="shared" si="43"/>
        <v>383</v>
      </c>
      <c r="I106" s="445">
        <f t="shared" si="44"/>
        <v>258</v>
      </c>
      <c r="J106" s="446">
        <v>75</v>
      </c>
      <c r="K106" s="446">
        <v>3</v>
      </c>
      <c r="L106" s="446">
        <v>180</v>
      </c>
      <c r="M106" s="446">
        <v>0</v>
      </c>
      <c r="N106" s="446">
        <v>0</v>
      </c>
      <c r="O106" s="446">
        <v>0</v>
      </c>
      <c r="P106" s="449">
        <v>0</v>
      </c>
      <c r="Q106" s="447">
        <v>125</v>
      </c>
      <c r="R106" s="441">
        <f t="shared" si="40"/>
        <v>305</v>
      </c>
      <c r="S106" s="438">
        <f t="shared" si="31"/>
        <v>0.3023255813953488</v>
      </c>
      <c r="T106" s="439">
        <f t="shared" si="32"/>
        <v>0</v>
      </c>
    </row>
    <row r="107" spans="1:20" s="414" customFormat="1" ht="23.25" customHeight="1">
      <c r="A107" s="443">
        <v>13.8</v>
      </c>
      <c r="B107" s="448" t="s">
        <v>549</v>
      </c>
      <c r="C107" s="445">
        <f t="shared" si="42"/>
        <v>341</v>
      </c>
      <c r="D107" s="446">
        <v>243</v>
      </c>
      <c r="E107" s="446">
        <v>98</v>
      </c>
      <c r="F107" s="446">
        <v>0</v>
      </c>
      <c r="G107" s="446">
        <v>0</v>
      </c>
      <c r="H107" s="445">
        <f t="shared" si="43"/>
        <v>341</v>
      </c>
      <c r="I107" s="445">
        <f t="shared" si="44"/>
        <v>248</v>
      </c>
      <c r="J107" s="446">
        <v>86</v>
      </c>
      <c r="K107" s="446">
        <v>0</v>
      </c>
      <c r="L107" s="446">
        <v>162</v>
      </c>
      <c r="M107" s="446">
        <v>0</v>
      </c>
      <c r="N107" s="446">
        <v>0</v>
      </c>
      <c r="O107" s="446">
        <v>0</v>
      </c>
      <c r="P107" s="449">
        <v>0</v>
      </c>
      <c r="Q107" s="447">
        <v>93</v>
      </c>
      <c r="R107" s="441">
        <f t="shared" si="40"/>
        <v>255</v>
      </c>
      <c r="S107" s="438">
        <f t="shared" si="31"/>
        <v>0.3467741935483871</v>
      </c>
      <c r="T107" s="439">
        <f t="shared" si="32"/>
        <v>0</v>
      </c>
    </row>
    <row r="108" spans="1:20" s="414" customFormat="1" ht="23.25" customHeight="1">
      <c r="A108" s="443">
        <v>13.9</v>
      </c>
      <c r="B108" s="448" t="s">
        <v>550</v>
      </c>
      <c r="C108" s="445">
        <f t="shared" si="42"/>
        <v>568</v>
      </c>
      <c r="D108" s="446">
        <v>435</v>
      </c>
      <c r="E108" s="446">
        <v>133</v>
      </c>
      <c r="F108" s="446">
        <v>0</v>
      </c>
      <c r="G108" s="446">
        <v>0</v>
      </c>
      <c r="H108" s="445">
        <f t="shared" si="43"/>
        <v>568</v>
      </c>
      <c r="I108" s="445">
        <f t="shared" si="44"/>
        <v>403</v>
      </c>
      <c r="J108" s="446">
        <v>116</v>
      </c>
      <c r="K108" s="446">
        <v>0</v>
      </c>
      <c r="L108" s="446">
        <v>287</v>
      </c>
      <c r="M108" s="446">
        <v>0</v>
      </c>
      <c r="N108" s="446">
        <v>0</v>
      </c>
      <c r="O108" s="446">
        <v>0</v>
      </c>
      <c r="P108" s="449">
        <v>0</v>
      </c>
      <c r="Q108" s="447">
        <v>165</v>
      </c>
      <c r="R108" s="441">
        <f t="shared" si="40"/>
        <v>452</v>
      </c>
      <c r="S108" s="438">
        <f t="shared" si="31"/>
        <v>0.2878411910669975</v>
      </c>
      <c r="T108" s="439">
        <f t="shared" si="32"/>
        <v>0</v>
      </c>
    </row>
    <row r="109" spans="1:20" s="414" customFormat="1" ht="23.25" customHeight="1">
      <c r="A109" s="407">
        <v>14</v>
      </c>
      <c r="B109" s="408" t="s">
        <v>551</v>
      </c>
      <c r="C109" s="426">
        <f>C110+C111</f>
        <v>370</v>
      </c>
      <c r="D109" s="430">
        <f aca="true" t="shared" si="45" ref="D109:Q109">D110+D111</f>
        <v>130</v>
      </c>
      <c r="E109" s="430">
        <f t="shared" si="45"/>
        <v>240</v>
      </c>
      <c r="F109" s="430">
        <f t="shared" si="45"/>
        <v>4</v>
      </c>
      <c r="G109" s="430">
        <f t="shared" si="45"/>
        <v>0</v>
      </c>
      <c r="H109" s="426">
        <f t="shared" si="45"/>
        <v>366</v>
      </c>
      <c r="I109" s="426">
        <f t="shared" si="45"/>
        <v>277</v>
      </c>
      <c r="J109" s="430">
        <f t="shared" si="45"/>
        <v>173</v>
      </c>
      <c r="K109" s="430">
        <f t="shared" si="45"/>
        <v>6</v>
      </c>
      <c r="L109" s="430">
        <f t="shared" si="45"/>
        <v>98</v>
      </c>
      <c r="M109" s="430">
        <f t="shared" si="45"/>
        <v>0</v>
      </c>
      <c r="N109" s="430">
        <f t="shared" si="45"/>
        <v>0</v>
      </c>
      <c r="O109" s="430">
        <f t="shared" si="45"/>
        <v>0</v>
      </c>
      <c r="P109" s="430">
        <f t="shared" si="45"/>
        <v>0</v>
      </c>
      <c r="Q109" s="426">
        <f t="shared" si="45"/>
        <v>89</v>
      </c>
      <c r="R109" s="415">
        <f t="shared" si="40"/>
        <v>187</v>
      </c>
      <c r="S109" s="412">
        <f t="shared" si="31"/>
        <v>0.6462093862815884</v>
      </c>
      <c r="T109" s="413">
        <f t="shared" si="32"/>
        <v>0</v>
      </c>
    </row>
    <row r="110" spans="1:20" s="414" customFormat="1" ht="23.25" customHeight="1">
      <c r="A110" s="448" t="s">
        <v>552</v>
      </c>
      <c r="B110" s="451" t="s">
        <v>553</v>
      </c>
      <c r="C110" s="445">
        <f>D110+E110</f>
        <v>162</v>
      </c>
      <c r="D110" s="474" t="s">
        <v>554</v>
      </c>
      <c r="E110" s="475" t="s">
        <v>599</v>
      </c>
      <c r="F110" s="474" t="s">
        <v>56</v>
      </c>
      <c r="G110" s="474" t="s">
        <v>427</v>
      </c>
      <c r="H110" s="478">
        <f>I110+Q110</f>
        <v>158</v>
      </c>
      <c r="I110" s="478">
        <f>P110+O110+N110+M110+L110+K110+J110</f>
        <v>117</v>
      </c>
      <c r="J110" s="475" t="s">
        <v>600</v>
      </c>
      <c r="K110" s="475" t="s">
        <v>44</v>
      </c>
      <c r="L110" s="475" t="s">
        <v>601</v>
      </c>
      <c r="M110" s="474" t="s">
        <v>427</v>
      </c>
      <c r="N110" s="474" t="s">
        <v>427</v>
      </c>
      <c r="O110" s="476" t="s">
        <v>427</v>
      </c>
      <c r="P110" s="479" t="s">
        <v>427</v>
      </c>
      <c r="Q110" s="447">
        <v>41</v>
      </c>
      <c r="R110" s="441">
        <f t="shared" si="40"/>
        <v>41</v>
      </c>
      <c r="S110" s="438">
        <f t="shared" si="31"/>
        <v>0.6923076923076923</v>
      </c>
      <c r="T110" s="439">
        <f t="shared" si="32"/>
        <v>0</v>
      </c>
    </row>
    <row r="111" spans="1:20" s="414" customFormat="1" ht="23.25" customHeight="1">
      <c r="A111" s="448" t="s">
        <v>555</v>
      </c>
      <c r="B111" s="451" t="s">
        <v>556</v>
      </c>
      <c r="C111" s="445">
        <f>D111+E111</f>
        <v>208</v>
      </c>
      <c r="D111" s="474" t="s">
        <v>557</v>
      </c>
      <c r="E111" s="475" t="s">
        <v>602</v>
      </c>
      <c r="F111" s="474" t="s">
        <v>427</v>
      </c>
      <c r="G111" s="474" t="s">
        <v>427</v>
      </c>
      <c r="H111" s="478">
        <f>I111+Q111</f>
        <v>208</v>
      </c>
      <c r="I111" s="478">
        <f>P111+O111+N111+M111+L111+K111+J111</f>
        <v>160</v>
      </c>
      <c r="J111" s="475" t="s">
        <v>603</v>
      </c>
      <c r="K111" s="475" t="s">
        <v>56</v>
      </c>
      <c r="L111" s="475" t="s">
        <v>604</v>
      </c>
      <c r="M111" s="474" t="s">
        <v>427</v>
      </c>
      <c r="N111" s="474" t="s">
        <v>427</v>
      </c>
      <c r="O111" s="476" t="s">
        <v>427</v>
      </c>
      <c r="P111" s="479" t="s">
        <v>427</v>
      </c>
      <c r="Q111" s="447">
        <v>48</v>
      </c>
      <c r="R111" s="441">
        <f t="shared" si="40"/>
        <v>48</v>
      </c>
      <c r="S111" s="480">
        <f t="shared" si="31"/>
        <v>0.6125</v>
      </c>
      <c r="T111" s="439">
        <f t="shared" si="32"/>
        <v>0</v>
      </c>
    </row>
    <row r="112" spans="1:20" s="414" customFormat="1" ht="23.25" customHeight="1">
      <c r="A112" s="407">
        <v>15</v>
      </c>
      <c r="B112" s="408" t="s">
        <v>559</v>
      </c>
      <c r="C112" s="423">
        <f aca="true" t="shared" si="46" ref="C112:C117">D112+E112</f>
        <v>309</v>
      </c>
      <c r="D112" s="424">
        <f>D113+D114+D115+D116+D117</f>
        <v>160</v>
      </c>
      <c r="E112" s="424">
        <f>E113+E114+E115+E116+E117</f>
        <v>149</v>
      </c>
      <c r="F112" s="424">
        <f>F113+F114+F115+F116+F117</f>
        <v>1</v>
      </c>
      <c r="G112" s="424">
        <f>G113+G114+G115+G116+G117</f>
        <v>0</v>
      </c>
      <c r="H112" s="423">
        <f aca="true" t="shared" si="47" ref="H112:H117">I112+Q112</f>
        <v>308</v>
      </c>
      <c r="I112" s="423">
        <f aca="true" t="shared" si="48" ref="I112:I117">J112+K112+L112+M112+N112+O112+P112</f>
        <v>197</v>
      </c>
      <c r="J112" s="424">
        <f aca="true" t="shared" si="49" ref="J112:Q112">J113+J114+J115+J116+J117</f>
        <v>119</v>
      </c>
      <c r="K112" s="424">
        <f t="shared" si="49"/>
        <v>2</v>
      </c>
      <c r="L112" s="424">
        <f t="shared" si="49"/>
        <v>71</v>
      </c>
      <c r="M112" s="424">
        <f t="shared" si="49"/>
        <v>2</v>
      </c>
      <c r="N112" s="424">
        <f t="shared" si="49"/>
        <v>0</v>
      </c>
      <c r="O112" s="424">
        <f t="shared" si="49"/>
        <v>0</v>
      </c>
      <c r="P112" s="424">
        <f t="shared" si="49"/>
        <v>3</v>
      </c>
      <c r="Q112" s="423">
        <f t="shared" si="49"/>
        <v>111</v>
      </c>
      <c r="R112" s="415">
        <f t="shared" si="40"/>
        <v>187</v>
      </c>
      <c r="S112" s="425">
        <f t="shared" si="31"/>
        <v>0.6142131979695431</v>
      </c>
      <c r="T112" s="413">
        <f t="shared" si="32"/>
        <v>0</v>
      </c>
    </row>
    <row r="113" spans="1:20" s="414" customFormat="1" ht="23.25" customHeight="1">
      <c r="A113" s="436">
        <v>15.1</v>
      </c>
      <c r="B113" s="451" t="s">
        <v>560</v>
      </c>
      <c r="C113" s="481">
        <f t="shared" si="46"/>
        <v>42</v>
      </c>
      <c r="D113" s="482" t="s">
        <v>247</v>
      </c>
      <c r="E113" s="482">
        <v>27</v>
      </c>
      <c r="F113" s="482">
        <v>0</v>
      </c>
      <c r="G113" s="482">
        <v>0</v>
      </c>
      <c r="H113" s="481">
        <f t="shared" si="47"/>
        <v>42</v>
      </c>
      <c r="I113" s="481">
        <f t="shared" si="48"/>
        <v>38</v>
      </c>
      <c r="J113" s="482">
        <v>23</v>
      </c>
      <c r="K113" s="482">
        <v>0</v>
      </c>
      <c r="L113" s="482">
        <v>15</v>
      </c>
      <c r="M113" s="482">
        <v>0</v>
      </c>
      <c r="N113" s="482"/>
      <c r="O113" s="482">
        <v>0</v>
      </c>
      <c r="P113" s="483">
        <v>0</v>
      </c>
      <c r="Q113" s="484" t="s">
        <v>56</v>
      </c>
      <c r="R113" s="441">
        <f t="shared" si="40"/>
        <v>15</v>
      </c>
      <c r="S113" s="480">
        <f t="shared" si="31"/>
        <v>0.6052631578947368</v>
      </c>
      <c r="T113" s="439">
        <f t="shared" si="32"/>
        <v>0</v>
      </c>
    </row>
    <row r="114" spans="1:20" s="414" customFormat="1" ht="23.25" customHeight="1">
      <c r="A114" s="436">
        <v>15.3</v>
      </c>
      <c r="B114" s="485" t="s">
        <v>561</v>
      </c>
      <c r="C114" s="481">
        <f t="shared" si="46"/>
        <v>82</v>
      </c>
      <c r="D114" s="482" t="s">
        <v>562</v>
      </c>
      <c r="E114" s="482">
        <v>24</v>
      </c>
      <c r="F114" s="482">
        <v>0</v>
      </c>
      <c r="G114" s="482">
        <v>0</v>
      </c>
      <c r="H114" s="481">
        <f t="shared" si="47"/>
        <v>82</v>
      </c>
      <c r="I114" s="481">
        <f t="shared" si="48"/>
        <v>39</v>
      </c>
      <c r="J114" s="482">
        <v>20</v>
      </c>
      <c r="K114" s="482">
        <v>1</v>
      </c>
      <c r="L114" s="482">
        <v>18</v>
      </c>
      <c r="M114" s="482">
        <v>0</v>
      </c>
      <c r="N114" s="482"/>
      <c r="O114" s="482" t="s">
        <v>427</v>
      </c>
      <c r="P114" s="483" t="s">
        <v>427</v>
      </c>
      <c r="Q114" s="484">
        <v>43</v>
      </c>
      <c r="R114" s="441">
        <f t="shared" si="40"/>
        <v>61</v>
      </c>
      <c r="S114" s="480">
        <f t="shared" si="31"/>
        <v>0.5384615384615384</v>
      </c>
      <c r="T114" s="439">
        <f t="shared" si="32"/>
        <v>0</v>
      </c>
    </row>
    <row r="115" spans="1:20" s="414" customFormat="1" ht="23.25" customHeight="1">
      <c r="A115" s="436">
        <v>15.4</v>
      </c>
      <c r="B115" s="485" t="s">
        <v>563</v>
      </c>
      <c r="C115" s="481">
        <f t="shared" si="46"/>
        <v>58</v>
      </c>
      <c r="D115" s="482" t="s">
        <v>564</v>
      </c>
      <c r="E115" s="482">
        <v>31</v>
      </c>
      <c r="F115" s="482" t="s">
        <v>43</v>
      </c>
      <c r="G115" s="482" t="s">
        <v>427</v>
      </c>
      <c r="H115" s="481">
        <f t="shared" si="47"/>
        <v>57</v>
      </c>
      <c r="I115" s="481">
        <f t="shared" si="48"/>
        <v>34</v>
      </c>
      <c r="J115" s="482">
        <v>21</v>
      </c>
      <c r="K115" s="482">
        <v>0</v>
      </c>
      <c r="L115" s="482">
        <v>8</v>
      </c>
      <c r="M115" s="482">
        <v>2</v>
      </c>
      <c r="N115" s="482"/>
      <c r="O115" s="482" t="s">
        <v>427</v>
      </c>
      <c r="P115" s="483">
        <v>3</v>
      </c>
      <c r="Q115" s="484">
        <v>23</v>
      </c>
      <c r="R115" s="441">
        <f t="shared" si="40"/>
        <v>36</v>
      </c>
      <c r="S115" s="480">
        <f t="shared" si="31"/>
        <v>0.6176470588235294</v>
      </c>
      <c r="T115" s="439">
        <f t="shared" si="32"/>
        <v>0</v>
      </c>
    </row>
    <row r="116" spans="1:20" s="414" customFormat="1" ht="23.25" customHeight="1">
      <c r="A116" s="436">
        <v>15.5</v>
      </c>
      <c r="B116" s="485" t="s">
        <v>565</v>
      </c>
      <c r="C116" s="481">
        <f t="shared" si="46"/>
        <v>82</v>
      </c>
      <c r="D116" s="482" t="s">
        <v>566</v>
      </c>
      <c r="E116" s="482">
        <v>44</v>
      </c>
      <c r="F116" s="482">
        <v>0</v>
      </c>
      <c r="G116" s="482">
        <v>0</v>
      </c>
      <c r="H116" s="481">
        <f t="shared" si="47"/>
        <v>82</v>
      </c>
      <c r="I116" s="481">
        <f t="shared" si="48"/>
        <v>53</v>
      </c>
      <c r="J116" s="482">
        <v>35</v>
      </c>
      <c r="K116" s="482">
        <v>0</v>
      </c>
      <c r="L116" s="482">
        <v>18</v>
      </c>
      <c r="M116" s="482">
        <v>0</v>
      </c>
      <c r="N116" s="482"/>
      <c r="O116" s="482" t="s">
        <v>427</v>
      </c>
      <c r="P116" s="483" t="s">
        <v>427</v>
      </c>
      <c r="Q116" s="484">
        <v>29</v>
      </c>
      <c r="R116" s="441">
        <f t="shared" si="40"/>
        <v>47</v>
      </c>
      <c r="S116" s="480">
        <f t="shared" si="31"/>
        <v>0.660377358490566</v>
      </c>
      <c r="T116" s="439">
        <f t="shared" si="32"/>
        <v>0</v>
      </c>
    </row>
    <row r="117" spans="1:20" s="414" customFormat="1" ht="23.25" customHeight="1">
      <c r="A117" s="436">
        <v>15.5</v>
      </c>
      <c r="B117" s="485" t="s">
        <v>567</v>
      </c>
      <c r="C117" s="481">
        <f t="shared" si="46"/>
        <v>45</v>
      </c>
      <c r="D117" s="482" t="s">
        <v>568</v>
      </c>
      <c r="E117" s="482">
        <v>23</v>
      </c>
      <c r="F117" s="482">
        <v>0</v>
      </c>
      <c r="G117" s="482">
        <v>0</v>
      </c>
      <c r="H117" s="481">
        <f t="shared" si="47"/>
        <v>45</v>
      </c>
      <c r="I117" s="481">
        <f t="shared" si="48"/>
        <v>33</v>
      </c>
      <c r="J117" s="482">
        <v>20</v>
      </c>
      <c r="K117" s="482">
        <v>1</v>
      </c>
      <c r="L117" s="482">
        <v>12</v>
      </c>
      <c r="M117" s="482" t="s">
        <v>427</v>
      </c>
      <c r="N117" s="482"/>
      <c r="O117" s="482" t="s">
        <v>427</v>
      </c>
      <c r="P117" s="483" t="s">
        <v>427</v>
      </c>
      <c r="Q117" s="484">
        <v>12</v>
      </c>
      <c r="R117" s="441">
        <f t="shared" si="40"/>
        <v>24</v>
      </c>
      <c r="S117" s="480">
        <f t="shared" si="31"/>
        <v>0.6363636363636364</v>
      </c>
      <c r="T117" s="439">
        <f t="shared" si="32"/>
        <v>0</v>
      </c>
    </row>
    <row r="118" spans="1:20" s="392" customFormat="1" ht="29.25" customHeight="1">
      <c r="A118" s="922"/>
      <c r="B118" s="922"/>
      <c r="C118" s="922"/>
      <c r="D118" s="922"/>
      <c r="E118" s="922"/>
      <c r="F118" s="587"/>
      <c r="G118" s="588"/>
      <c r="H118" s="589"/>
      <c r="I118" s="589"/>
      <c r="J118" s="588"/>
      <c r="K118" s="588"/>
      <c r="L118" s="588"/>
      <c r="M118" s="588"/>
      <c r="N118" s="588"/>
      <c r="O118" s="618" t="s">
        <v>612</v>
      </c>
      <c r="P118" s="618"/>
      <c r="Q118" s="618"/>
      <c r="R118" s="618"/>
      <c r="S118" s="618"/>
      <c r="T118" s="619"/>
    </row>
    <row r="119" spans="1:20" s="392" customFormat="1" ht="19.5" customHeight="1">
      <c r="A119" s="591"/>
      <c r="B119" s="927" t="s">
        <v>4</v>
      </c>
      <c r="C119" s="927"/>
      <c r="D119" s="927"/>
      <c r="E119" s="927"/>
      <c r="F119" s="592"/>
      <c r="G119" s="592"/>
      <c r="H119" s="593"/>
      <c r="I119" s="593"/>
      <c r="J119" s="592"/>
      <c r="K119" s="592"/>
      <c r="L119" s="592"/>
      <c r="M119" s="946" t="s">
        <v>582</v>
      </c>
      <c r="N119" s="946"/>
      <c r="O119" s="946"/>
      <c r="P119" s="946"/>
      <c r="Q119" s="946"/>
      <c r="R119" s="946"/>
      <c r="S119" s="946"/>
      <c r="T119" s="946"/>
    </row>
    <row r="120" spans="1:20" s="389" customFormat="1" ht="18.75">
      <c r="A120" s="594"/>
      <c r="B120" s="949"/>
      <c r="C120" s="949"/>
      <c r="D120" s="949"/>
      <c r="E120" s="595"/>
      <c r="F120" s="595"/>
      <c r="G120" s="595"/>
      <c r="H120" s="596"/>
      <c r="I120" s="596"/>
      <c r="J120" s="595"/>
      <c r="K120" s="595"/>
      <c r="L120" s="595"/>
      <c r="M120" s="947" t="s">
        <v>583</v>
      </c>
      <c r="N120" s="947"/>
      <c r="O120" s="947"/>
      <c r="P120" s="947"/>
      <c r="Q120" s="947"/>
      <c r="R120" s="947"/>
      <c r="S120" s="947"/>
      <c r="T120" s="947"/>
    </row>
    <row r="121" spans="1:20" s="389" customFormat="1" ht="18.75">
      <c r="A121" s="382"/>
      <c r="B121" s="380"/>
      <c r="C121" s="399"/>
      <c r="D121" s="398"/>
      <c r="E121" s="398"/>
      <c r="F121" s="398"/>
      <c r="G121" s="398"/>
      <c r="H121" s="399"/>
      <c r="I121" s="399"/>
      <c r="J121" s="398"/>
      <c r="K121" s="398"/>
      <c r="L121" s="398"/>
      <c r="M121" s="398"/>
      <c r="N121" s="398"/>
      <c r="O121" s="398"/>
      <c r="P121" s="398"/>
      <c r="Q121" s="398"/>
      <c r="R121" s="399"/>
      <c r="S121" s="399"/>
      <c r="T121" s="398"/>
    </row>
    <row r="122" spans="1:20" s="389" customFormat="1" ht="18.75">
      <c r="A122" s="393"/>
      <c r="B122" s="923"/>
      <c r="C122" s="923"/>
      <c r="D122" s="923"/>
      <c r="E122" s="398"/>
      <c r="F122" s="398"/>
      <c r="G122" s="398"/>
      <c r="H122" s="399"/>
      <c r="I122" s="399"/>
      <c r="J122" s="398"/>
      <c r="K122" s="398"/>
      <c r="L122" s="398"/>
      <c r="M122" s="398"/>
      <c r="N122" s="398"/>
      <c r="O122" s="398"/>
      <c r="P122" s="398"/>
      <c r="Q122" s="948"/>
      <c r="R122" s="948"/>
      <c r="S122" s="948"/>
      <c r="T122" s="398"/>
    </row>
    <row r="123" spans="1:20" s="389" customFormat="1" ht="15.75" customHeight="1">
      <c r="A123" s="383"/>
      <c r="B123" s="380"/>
      <c r="C123" s="399"/>
      <c r="D123" s="398"/>
      <c r="E123" s="398"/>
      <c r="F123" s="398"/>
      <c r="G123" s="398"/>
      <c r="H123" s="399"/>
      <c r="I123" s="399"/>
      <c r="J123" s="398"/>
      <c r="K123" s="398"/>
      <c r="L123" s="398"/>
      <c r="M123" s="398"/>
      <c r="N123" s="398"/>
      <c r="O123" s="398"/>
      <c r="P123" s="398"/>
      <c r="Q123" s="398"/>
      <c r="R123" s="399"/>
      <c r="S123" s="399"/>
      <c r="T123" s="398"/>
    </row>
    <row r="124" spans="1:20" s="389" customFormat="1" ht="15.75" customHeight="1">
      <c r="A124" s="393"/>
      <c r="B124" s="923"/>
      <c r="C124" s="923"/>
      <c r="D124" s="923"/>
      <c r="E124" s="923"/>
      <c r="F124" s="923"/>
      <c r="G124" s="923"/>
      <c r="H124" s="923"/>
      <c r="I124" s="923"/>
      <c r="J124" s="923"/>
      <c r="K124" s="923"/>
      <c r="L124" s="923"/>
      <c r="M124" s="923"/>
      <c r="N124" s="923"/>
      <c r="O124" s="923"/>
      <c r="P124" s="923"/>
      <c r="Q124" s="398"/>
      <c r="R124" s="399"/>
      <c r="S124" s="399"/>
      <c r="T124" s="398"/>
    </row>
    <row r="125" spans="1:20" s="389" customFormat="1" ht="18.75">
      <c r="A125" s="394"/>
      <c r="B125" s="397"/>
      <c r="C125" s="400"/>
      <c r="D125" s="401"/>
      <c r="E125" s="401"/>
      <c r="F125" s="401"/>
      <c r="G125" s="401"/>
      <c r="H125" s="400"/>
      <c r="I125" s="400"/>
      <c r="J125" s="401"/>
      <c r="K125" s="401"/>
      <c r="L125" s="401"/>
      <c r="M125" s="401"/>
      <c r="N125" s="401"/>
      <c r="O125" s="401"/>
      <c r="P125" s="401"/>
      <c r="Q125" s="401"/>
      <c r="R125" s="399"/>
      <c r="S125" s="399"/>
      <c r="T125" s="398"/>
    </row>
    <row r="126" spans="1:20" s="389" customFormat="1" ht="18.75">
      <c r="A126" s="393"/>
      <c r="B126" s="923" t="s">
        <v>580</v>
      </c>
      <c r="C126" s="923"/>
      <c r="D126" s="923"/>
      <c r="E126" s="923"/>
      <c r="F126" s="398"/>
      <c r="G126" s="398"/>
      <c r="H126" s="399"/>
      <c r="I126" s="399"/>
      <c r="J126" s="398"/>
      <c r="K126" s="398"/>
      <c r="L126" s="398"/>
      <c r="M126" s="923" t="s">
        <v>426</v>
      </c>
      <c r="N126" s="923"/>
      <c r="O126" s="923"/>
      <c r="P126" s="923"/>
      <c r="Q126" s="923"/>
      <c r="R126" s="923"/>
      <c r="S126" s="923"/>
      <c r="T126" s="923"/>
    </row>
    <row r="127" spans="1:19" ht="18.75">
      <c r="A127" s="382"/>
      <c r="B127" s="923"/>
      <c r="C127" s="923"/>
      <c r="D127" s="923"/>
      <c r="E127" s="923"/>
      <c r="F127" s="381"/>
      <c r="G127" s="381"/>
      <c r="H127" s="386"/>
      <c r="I127" s="386"/>
      <c r="J127" s="381"/>
      <c r="K127" s="381"/>
      <c r="L127" s="381"/>
      <c r="M127" s="381"/>
      <c r="N127" s="923"/>
      <c r="O127" s="923"/>
      <c r="P127" s="923"/>
      <c r="Q127" s="923"/>
      <c r="R127" s="923"/>
      <c r="S127" s="923"/>
    </row>
    <row r="128" spans="1:19" ht="18.75">
      <c r="A128" s="385"/>
      <c r="B128" s="385"/>
      <c r="C128" s="387"/>
      <c r="D128" s="379"/>
      <c r="E128" s="379"/>
      <c r="F128" s="379"/>
      <c r="G128" s="379"/>
      <c r="H128" s="387"/>
      <c r="I128" s="387"/>
      <c r="J128" s="379"/>
      <c r="K128" s="379"/>
      <c r="L128" s="379"/>
      <c r="M128" s="379"/>
      <c r="N128" s="379"/>
      <c r="O128" s="379"/>
      <c r="P128" s="379"/>
      <c r="Q128" s="387"/>
      <c r="R128" s="387"/>
      <c r="S128" s="379"/>
    </row>
  </sheetData>
  <sheetProtection/>
  <mergeCells count="37">
    <mergeCell ref="M119:T119"/>
    <mergeCell ref="M120:T120"/>
    <mergeCell ref="M126:T126"/>
    <mergeCell ref="B122:D122"/>
    <mergeCell ref="Q122:S122"/>
    <mergeCell ref="B124:P124"/>
    <mergeCell ref="B126:E126"/>
    <mergeCell ref="B120:D120"/>
    <mergeCell ref="E1:O1"/>
    <mergeCell ref="E2:O2"/>
    <mergeCell ref="E3:O3"/>
    <mergeCell ref="F6:F9"/>
    <mergeCell ref="G6:G9"/>
    <mergeCell ref="H6:Q6"/>
    <mergeCell ref="C6:E6"/>
    <mergeCell ref="A2:D2"/>
    <mergeCell ref="P2:S2"/>
    <mergeCell ref="A3:D3"/>
    <mergeCell ref="P4:S4"/>
    <mergeCell ref="A6:B9"/>
    <mergeCell ref="H7:H9"/>
    <mergeCell ref="Q7:Q9"/>
    <mergeCell ref="I8:I9"/>
    <mergeCell ref="S6:S9"/>
    <mergeCell ref="I7:P7"/>
    <mergeCell ref="C7:C9"/>
    <mergeCell ref="R6:R9"/>
    <mergeCell ref="A118:E118"/>
    <mergeCell ref="N127:S127"/>
    <mergeCell ref="D7:E7"/>
    <mergeCell ref="D8:D9"/>
    <mergeCell ref="E8:E9"/>
    <mergeCell ref="J8:P8"/>
    <mergeCell ref="B127:E127"/>
    <mergeCell ref="A10:B10"/>
    <mergeCell ref="B119:E119"/>
    <mergeCell ref="A11:B11"/>
  </mergeCells>
  <printOptions/>
  <pageMargins left="0.3937007874015748" right="0" top="0" bottom="0" header="0.4330708661417323" footer="0.2755905511811024"/>
  <pageSetup horizontalDpi="600" verticalDpi="600" orientation="landscape" paperSize="9" scale="88" r:id="rId4"/>
  <headerFooter differentFirst="1" alignWithMargins="0">
    <oddFooter>&amp;C&amp;P</oddFooter>
  </headerFooter>
  <ignoredErrors>
    <ignoredError sqref="C83:C92 I32:I38" formulaRange="1"/>
  </ignoredErrors>
  <drawing r:id="rId3"/>
  <legacyDrawing r:id="rId2"/>
</worksheet>
</file>

<file path=xl/worksheets/sheet13.xml><?xml version="1.0" encoding="utf-8"?>
<worksheet xmlns="http://schemas.openxmlformats.org/spreadsheetml/2006/main" xmlns:r="http://schemas.openxmlformats.org/officeDocument/2006/relationships">
  <sheetPr>
    <tabColor indexed="19"/>
  </sheetPr>
  <dimension ref="A1:AJ127"/>
  <sheetViews>
    <sheetView showZeros="0" tabSelected="1" view="pageBreakPreview" zoomScale="85" zoomScaleNormal="85" zoomScaleSheetLayoutView="85" zoomScalePageLayoutView="0" workbookViewId="0" topLeftCell="A1">
      <selection activeCell="G120" sqref="G120"/>
    </sheetView>
  </sheetViews>
  <sheetFormatPr defaultColWidth="9.00390625" defaultRowHeight="15.75"/>
  <cols>
    <col min="1" max="1" width="4.125" style="389" customWidth="1"/>
    <col min="2" max="2" width="17.50390625" style="389" customWidth="1"/>
    <col min="3" max="3" width="10.125" style="396" customWidth="1"/>
    <col min="4" max="4" width="9.375" style="395" customWidth="1"/>
    <col min="5" max="6" width="8.875" style="395" customWidth="1"/>
    <col min="7" max="7" width="7.75390625" style="395" customWidth="1"/>
    <col min="8" max="8" width="9.375" style="396" customWidth="1"/>
    <col min="9" max="9" width="10.25390625" style="396" customWidth="1"/>
    <col min="10" max="10" width="8.625" style="395" customWidth="1"/>
    <col min="11" max="11" width="8.50390625" style="395" customWidth="1"/>
    <col min="12" max="12" width="5.875" style="395" customWidth="1"/>
    <col min="13" max="13" width="10.00390625" style="395" customWidth="1"/>
    <col min="14" max="14" width="7.50390625" style="395" customWidth="1"/>
    <col min="15" max="15" width="7.00390625" style="395" customWidth="1"/>
    <col min="16" max="16" width="6.375" style="395" customWidth="1"/>
    <col min="17" max="17" width="8.625" style="395" customWidth="1"/>
    <col min="18" max="18" width="8.875" style="396" customWidth="1"/>
    <col min="19" max="19" width="10.875" style="396" customWidth="1"/>
    <col min="20" max="20" width="6.75390625" style="389" customWidth="1"/>
    <col min="21" max="21" width="14.25390625" style="395" bestFit="1" customWidth="1"/>
    <col min="22" max="16384" width="9.00390625" style="389" customWidth="1"/>
  </cols>
  <sheetData>
    <row r="1" spans="1:21" ht="20.25" customHeight="1">
      <c r="A1" s="488" t="s">
        <v>28</v>
      </c>
      <c r="B1" s="488"/>
      <c r="C1" s="572"/>
      <c r="D1" s="573"/>
      <c r="E1" s="950" t="s">
        <v>64</v>
      </c>
      <c r="F1" s="950"/>
      <c r="G1" s="950"/>
      <c r="H1" s="950"/>
      <c r="I1" s="950"/>
      <c r="J1" s="950"/>
      <c r="K1" s="950"/>
      <c r="L1" s="950"/>
      <c r="M1" s="950"/>
      <c r="N1" s="950"/>
      <c r="O1" s="950"/>
      <c r="P1" s="950"/>
      <c r="Q1" s="574" t="s">
        <v>424</v>
      </c>
      <c r="R1" s="575"/>
      <c r="S1" s="575"/>
      <c r="T1" s="576"/>
      <c r="U1" s="573"/>
    </row>
    <row r="2" spans="1:21" ht="17.25" customHeight="1">
      <c r="A2" s="958" t="s">
        <v>239</v>
      </c>
      <c r="B2" s="958"/>
      <c r="C2" s="958"/>
      <c r="D2" s="958"/>
      <c r="E2" s="951" t="s">
        <v>34</v>
      </c>
      <c r="F2" s="951"/>
      <c r="G2" s="951"/>
      <c r="H2" s="951"/>
      <c r="I2" s="951"/>
      <c r="J2" s="951"/>
      <c r="K2" s="951"/>
      <c r="L2" s="951"/>
      <c r="M2" s="951"/>
      <c r="N2" s="951"/>
      <c r="O2" s="951"/>
      <c r="P2" s="951"/>
      <c r="Q2" s="959" t="s">
        <v>584</v>
      </c>
      <c r="R2" s="960"/>
      <c r="S2" s="960"/>
      <c r="T2" s="960"/>
      <c r="U2" s="573"/>
    </row>
    <row r="3" spans="1:21" ht="18" customHeight="1">
      <c r="A3" s="958" t="s">
        <v>240</v>
      </c>
      <c r="B3" s="958"/>
      <c r="C3" s="958"/>
      <c r="D3" s="958"/>
      <c r="E3" s="952" t="s">
        <v>608</v>
      </c>
      <c r="F3" s="952"/>
      <c r="G3" s="952"/>
      <c r="H3" s="952"/>
      <c r="I3" s="952"/>
      <c r="J3" s="952"/>
      <c r="K3" s="952"/>
      <c r="L3" s="952"/>
      <c r="M3" s="952"/>
      <c r="N3" s="952"/>
      <c r="O3" s="952"/>
      <c r="P3" s="952"/>
      <c r="Q3" s="574" t="s">
        <v>579</v>
      </c>
      <c r="R3" s="577"/>
      <c r="S3" s="575"/>
      <c r="T3" s="576"/>
      <c r="U3" s="573"/>
    </row>
    <row r="4" spans="1:21" ht="14.25" customHeight="1">
      <c r="A4" s="578" t="s">
        <v>118</v>
      </c>
      <c r="B4" s="488"/>
      <c r="C4" s="572"/>
      <c r="D4" s="573"/>
      <c r="E4" s="573"/>
      <c r="F4" s="573"/>
      <c r="G4" s="573"/>
      <c r="H4" s="572"/>
      <c r="I4" s="572"/>
      <c r="J4" s="573"/>
      <c r="K4" s="573"/>
      <c r="L4" s="573"/>
      <c r="M4" s="573"/>
      <c r="N4" s="573"/>
      <c r="O4" s="573"/>
      <c r="P4" s="573"/>
      <c r="Q4" s="961" t="s">
        <v>302</v>
      </c>
      <c r="R4" s="961"/>
      <c r="S4" s="961"/>
      <c r="T4" s="961"/>
      <c r="U4" s="573"/>
    </row>
    <row r="5" spans="1:21" ht="21.75" customHeight="1" thickBot="1">
      <c r="A5" s="488"/>
      <c r="B5" s="488"/>
      <c r="C5" s="572"/>
      <c r="D5" s="573"/>
      <c r="E5" s="573"/>
      <c r="F5" s="573"/>
      <c r="G5" s="573"/>
      <c r="H5" s="572"/>
      <c r="I5" s="572"/>
      <c r="J5" s="573"/>
      <c r="K5" s="573"/>
      <c r="L5" s="573"/>
      <c r="M5" s="573"/>
      <c r="N5" s="573"/>
      <c r="O5" s="573"/>
      <c r="P5" s="573"/>
      <c r="Q5" s="956" t="s">
        <v>425</v>
      </c>
      <c r="R5" s="956"/>
      <c r="S5" s="956"/>
      <c r="T5" s="956"/>
      <c r="U5" s="573"/>
    </row>
    <row r="6" spans="1:36" ht="18.75" customHeight="1" thickTop="1">
      <c r="A6" s="970" t="s">
        <v>55</v>
      </c>
      <c r="B6" s="971"/>
      <c r="C6" s="974" t="s">
        <v>119</v>
      </c>
      <c r="D6" s="974"/>
      <c r="E6" s="974"/>
      <c r="F6" s="953" t="s">
        <v>99</v>
      </c>
      <c r="G6" s="953" t="s">
        <v>120</v>
      </c>
      <c r="H6" s="955" t="s">
        <v>100</v>
      </c>
      <c r="I6" s="955"/>
      <c r="J6" s="955"/>
      <c r="K6" s="955"/>
      <c r="L6" s="955"/>
      <c r="M6" s="955"/>
      <c r="N6" s="955"/>
      <c r="O6" s="955"/>
      <c r="P6" s="955"/>
      <c r="Q6" s="955"/>
      <c r="R6" s="955"/>
      <c r="S6" s="966" t="s">
        <v>244</v>
      </c>
      <c r="T6" s="963" t="s">
        <v>423</v>
      </c>
      <c r="U6" s="574"/>
      <c r="V6" s="390"/>
      <c r="W6" s="390"/>
      <c r="X6" s="390"/>
      <c r="Y6" s="390"/>
      <c r="Z6" s="390"/>
      <c r="AA6" s="390"/>
      <c r="AB6" s="390"/>
      <c r="AC6" s="390"/>
      <c r="AD6" s="390"/>
      <c r="AE6" s="390"/>
      <c r="AF6" s="390"/>
      <c r="AG6" s="390"/>
      <c r="AH6" s="390"/>
      <c r="AI6" s="390"/>
      <c r="AJ6" s="390"/>
    </row>
    <row r="7" spans="1:36" s="391" customFormat="1" ht="21" customHeight="1">
      <c r="A7" s="972"/>
      <c r="B7" s="973"/>
      <c r="C7" s="967" t="s">
        <v>42</v>
      </c>
      <c r="D7" s="957" t="s">
        <v>7</v>
      </c>
      <c r="E7" s="957"/>
      <c r="F7" s="954"/>
      <c r="G7" s="954"/>
      <c r="H7" s="962" t="s">
        <v>100</v>
      </c>
      <c r="I7" s="957" t="s">
        <v>101</v>
      </c>
      <c r="J7" s="957"/>
      <c r="K7" s="957"/>
      <c r="L7" s="957"/>
      <c r="M7" s="957"/>
      <c r="N7" s="957"/>
      <c r="O7" s="957"/>
      <c r="P7" s="957"/>
      <c r="Q7" s="957"/>
      <c r="R7" s="962" t="s">
        <v>121</v>
      </c>
      <c r="S7" s="967"/>
      <c r="T7" s="964"/>
      <c r="U7" s="574"/>
      <c r="V7" s="390"/>
      <c r="W7" s="390"/>
      <c r="X7" s="390"/>
      <c r="Y7" s="390"/>
      <c r="Z7" s="390"/>
      <c r="AA7" s="390"/>
      <c r="AB7" s="390"/>
      <c r="AC7" s="390"/>
      <c r="AD7" s="390"/>
      <c r="AE7" s="390"/>
      <c r="AF7" s="390"/>
      <c r="AG7" s="390"/>
      <c r="AH7" s="390"/>
      <c r="AI7" s="390"/>
      <c r="AJ7" s="390"/>
    </row>
    <row r="8" spans="1:36" ht="21.75" customHeight="1">
      <c r="A8" s="972"/>
      <c r="B8" s="973"/>
      <c r="C8" s="967"/>
      <c r="D8" s="957" t="s">
        <v>122</v>
      </c>
      <c r="E8" s="957" t="s">
        <v>123</v>
      </c>
      <c r="F8" s="954"/>
      <c r="G8" s="954"/>
      <c r="H8" s="962"/>
      <c r="I8" s="962" t="s">
        <v>422</v>
      </c>
      <c r="J8" s="957" t="s">
        <v>7</v>
      </c>
      <c r="K8" s="957"/>
      <c r="L8" s="957"/>
      <c r="M8" s="957"/>
      <c r="N8" s="957"/>
      <c r="O8" s="957"/>
      <c r="P8" s="957"/>
      <c r="Q8" s="957"/>
      <c r="R8" s="962"/>
      <c r="S8" s="967"/>
      <c r="T8" s="964"/>
      <c r="U8" s="574"/>
      <c r="V8" s="390"/>
      <c r="W8" s="390"/>
      <c r="X8" s="390"/>
      <c r="Y8" s="390"/>
      <c r="Z8" s="390"/>
      <c r="AA8" s="390"/>
      <c r="AB8" s="390"/>
      <c r="AC8" s="390"/>
      <c r="AD8" s="390"/>
      <c r="AE8" s="390"/>
      <c r="AF8" s="390"/>
      <c r="AG8" s="390"/>
      <c r="AH8" s="390"/>
      <c r="AI8" s="390"/>
      <c r="AJ8" s="390"/>
    </row>
    <row r="9" spans="1:36" ht="84" customHeight="1">
      <c r="A9" s="972"/>
      <c r="B9" s="973"/>
      <c r="C9" s="967"/>
      <c r="D9" s="957"/>
      <c r="E9" s="957"/>
      <c r="F9" s="954"/>
      <c r="G9" s="954"/>
      <c r="H9" s="962"/>
      <c r="I9" s="962"/>
      <c r="J9" s="579" t="s">
        <v>124</v>
      </c>
      <c r="K9" s="579" t="s">
        <v>125</v>
      </c>
      <c r="L9" s="579" t="s">
        <v>117</v>
      </c>
      <c r="M9" s="580" t="s">
        <v>103</v>
      </c>
      <c r="N9" s="580" t="s">
        <v>126</v>
      </c>
      <c r="O9" s="580" t="s">
        <v>106</v>
      </c>
      <c r="P9" s="580" t="s">
        <v>245</v>
      </c>
      <c r="Q9" s="580" t="s">
        <v>109</v>
      </c>
      <c r="R9" s="962"/>
      <c r="S9" s="967"/>
      <c r="T9" s="964"/>
      <c r="U9" s="574"/>
      <c r="V9" s="390"/>
      <c r="W9" s="390"/>
      <c r="X9" s="390"/>
      <c r="Y9" s="390"/>
      <c r="Z9" s="390"/>
      <c r="AA9" s="390"/>
      <c r="AB9" s="390"/>
      <c r="AC9" s="390"/>
      <c r="AD9" s="390"/>
      <c r="AE9" s="390"/>
      <c r="AF9" s="390"/>
      <c r="AG9" s="390"/>
      <c r="AH9" s="390"/>
      <c r="AI9" s="390"/>
      <c r="AJ9" s="390"/>
    </row>
    <row r="10" spans="1:21" ht="17.25" customHeight="1">
      <c r="A10" s="975" t="s">
        <v>6</v>
      </c>
      <c r="B10" s="976"/>
      <c r="C10" s="581">
        <v>1</v>
      </c>
      <c r="D10" s="582">
        <v>2</v>
      </c>
      <c r="E10" s="582">
        <v>3</v>
      </c>
      <c r="F10" s="582">
        <v>4</v>
      </c>
      <c r="G10" s="582">
        <v>5</v>
      </c>
      <c r="H10" s="581">
        <v>6</v>
      </c>
      <c r="I10" s="581">
        <v>7</v>
      </c>
      <c r="J10" s="582">
        <v>8</v>
      </c>
      <c r="K10" s="582">
        <v>9</v>
      </c>
      <c r="L10" s="582" t="s">
        <v>81</v>
      </c>
      <c r="M10" s="582" t="s">
        <v>82</v>
      </c>
      <c r="N10" s="582" t="s">
        <v>83</v>
      </c>
      <c r="O10" s="582" t="s">
        <v>84</v>
      </c>
      <c r="P10" s="582" t="s">
        <v>85</v>
      </c>
      <c r="Q10" s="582" t="s">
        <v>247</v>
      </c>
      <c r="R10" s="581" t="s">
        <v>248</v>
      </c>
      <c r="S10" s="581" t="s">
        <v>249</v>
      </c>
      <c r="T10" s="583" t="s">
        <v>250</v>
      </c>
      <c r="U10" s="573"/>
    </row>
    <row r="11" spans="1:21" s="515" customFormat="1" ht="24" customHeight="1">
      <c r="A11" s="968" t="s">
        <v>30</v>
      </c>
      <c r="B11" s="969"/>
      <c r="C11" s="584">
        <f>C12+C30</f>
        <v>3542614645</v>
      </c>
      <c r="D11" s="584">
        <f aca="true" t="shared" si="0" ref="D11:S11">D12+D30</f>
        <v>2845019442</v>
      </c>
      <c r="E11" s="584">
        <f t="shared" si="0"/>
        <v>697595203</v>
      </c>
      <c r="F11" s="584">
        <f t="shared" si="0"/>
        <v>141705155</v>
      </c>
      <c r="G11" s="584">
        <f t="shared" si="0"/>
        <v>13954715</v>
      </c>
      <c r="H11" s="584">
        <f t="shared" si="0"/>
        <v>3400909490</v>
      </c>
      <c r="I11" s="584">
        <f t="shared" si="0"/>
        <v>3094015822</v>
      </c>
      <c r="J11" s="584">
        <f t="shared" si="0"/>
        <v>129537070</v>
      </c>
      <c r="K11" s="584">
        <f t="shared" si="0"/>
        <v>58269548</v>
      </c>
      <c r="L11" s="584">
        <f t="shared" si="0"/>
        <v>3350</v>
      </c>
      <c r="M11" s="584">
        <f t="shared" si="0"/>
        <v>2872772644</v>
      </c>
      <c r="N11" s="584">
        <f t="shared" si="0"/>
        <v>13510840</v>
      </c>
      <c r="O11" s="584">
        <f t="shared" si="0"/>
        <v>9653406</v>
      </c>
      <c r="P11" s="584">
        <f t="shared" si="0"/>
        <v>0</v>
      </c>
      <c r="Q11" s="584">
        <f t="shared" si="0"/>
        <v>10268964</v>
      </c>
      <c r="R11" s="584">
        <f t="shared" si="0"/>
        <v>306893668</v>
      </c>
      <c r="S11" s="584">
        <f t="shared" si="0"/>
        <v>3213099522</v>
      </c>
      <c r="T11" s="521">
        <f>(J11+K11)/I11</f>
        <v>0.060699953977158425</v>
      </c>
      <c r="U11" s="621"/>
    </row>
    <row r="12" spans="1:21" s="515" customFormat="1" ht="24" customHeight="1">
      <c r="A12" s="586" t="s">
        <v>0</v>
      </c>
      <c r="B12" s="586" t="s">
        <v>78</v>
      </c>
      <c r="C12" s="547">
        <f aca="true" t="shared" si="1" ref="C12:S12">SUM(C14:C29)</f>
        <v>984549340</v>
      </c>
      <c r="D12" s="547">
        <f t="shared" si="1"/>
        <v>916490117</v>
      </c>
      <c r="E12" s="547">
        <f t="shared" si="1"/>
        <v>68059223</v>
      </c>
      <c r="F12" s="547">
        <f t="shared" si="1"/>
        <v>89601065</v>
      </c>
      <c r="G12" s="547">
        <f t="shared" si="1"/>
        <v>0</v>
      </c>
      <c r="H12" s="547">
        <f t="shared" si="1"/>
        <v>894948275</v>
      </c>
      <c r="I12" s="547">
        <f t="shared" si="1"/>
        <v>894435417</v>
      </c>
      <c r="J12" s="547">
        <f t="shared" si="1"/>
        <v>44122350</v>
      </c>
      <c r="K12" s="547">
        <f t="shared" si="1"/>
        <v>1416276</v>
      </c>
      <c r="L12" s="547">
        <f t="shared" si="1"/>
        <v>0</v>
      </c>
      <c r="M12" s="547">
        <f t="shared" si="1"/>
        <v>840385251</v>
      </c>
      <c r="N12" s="547">
        <f t="shared" si="1"/>
        <v>8510000</v>
      </c>
      <c r="O12" s="547">
        <f t="shared" si="1"/>
        <v>0</v>
      </c>
      <c r="P12" s="547">
        <f t="shared" si="1"/>
        <v>0</v>
      </c>
      <c r="Q12" s="547">
        <f t="shared" si="1"/>
        <v>1540</v>
      </c>
      <c r="R12" s="547">
        <f t="shared" si="1"/>
        <v>512858</v>
      </c>
      <c r="S12" s="547">
        <f t="shared" si="1"/>
        <v>849409649</v>
      </c>
      <c r="T12" s="521">
        <f>(J12+K12)/I12</f>
        <v>0.050913263422349475</v>
      </c>
      <c r="U12" s="585"/>
    </row>
    <row r="13" spans="1:21" s="571" customFormat="1" ht="24" customHeight="1">
      <c r="A13" s="496" t="s">
        <v>45</v>
      </c>
      <c r="B13" s="497" t="s">
        <v>428</v>
      </c>
      <c r="C13" s="547">
        <f>D13+E13</f>
        <v>0</v>
      </c>
      <c r="D13" s="525">
        <v>0</v>
      </c>
      <c r="E13" s="525"/>
      <c r="F13" s="547"/>
      <c r="G13" s="525"/>
      <c r="H13" s="520">
        <f>I13+R13</f>
        <v>0</v>
      </c>
      <c r="I13" s="520">
        <f>SUM(J13:Q13)</f>
        <v>0</v>
      </c>
      <c r="J13" s="525"/>
      <c r="K13" s="525"/>
      <c r="L13" s="525"/>
      <c r="M13" s="525"/>
      <c r="N13" s="565"/>
      <c r="O13" s="525"/>
      <c r="P13" s="525"/>
      <c r="Q13" s="525"/>
      <c r="R13" s="525"/>
      <c r="S13" s="566">
        <f>H13-J13-K13-L13</f>
        <v>0</v>
      </c>
      <c r="T13" s="569" t="e">
        <f>(J13+K13+L13)/I13*100</f>
        <v>#DIV/0!</v>
      </c>
      <c r="U13" s="487"/>
    </row>
    <row r="14" spans="1:21" s="571" customFormat="1" ht="24" customHeight="1">
      <c r="A14" s="496" t="s">
        <v>46</v>
      </c>
      <c r="B14" s="497" t="s">
        <v>429</v>
      </c>
      <c r="C14" s="547">
        <f aca="true" t="shared" si="2" ref="C14:C29">D14+E14</f>
        <v>5150</v>
      </c>
      <c r="D14" s="525">
        <v>5150</v>
      </c>
      <c r="E14" s="525"/>
      <c r="F14" s="547"/>
      <c r="G14" s="525"/>
      <c r="H14" s="520">
        <f aca="true" t="shared" si="3" ref="H14:H29">I14+R14</f>
        <v>5150</v>
      </c>
      <c r="I14" s="520">
        <f aca="true" t="shared" si="4" ref="I14:I29">SUM(J14:Q14)</f>
        <v>5150</v>
      </c>
      <c r="J14" s="525"/>
      <c r="K14" s="525"/>
      <c r="L14" s="525"/>
      <c r="M14" s="525">
        <v>5150</v>
      </c>
      <c r="N14" s="565"/>
      <c r="O14" s="525"/>
      <c r="P14" s="525"/>
      <c r="Q14" s="525"/>
      <c r="R14" s="525"/>
      <c r="S14" s="566">
        <f aca="true" t="shared" si="5" ref="S14:S29">H14-J14-K14-L14</f>
        <v>5150</v>
      </c>
      <c r="T14" s="569">
        <f aca="true" t="shared" si="6" ref="T14:T77">(J14+K14+L14)/I14*100</f>
        <v>0</v>
      </c>
      <c r="U14" s="487">
        <f aca="true" t="shared" si="7" ref="U14:U77">C14-F14-H14</f>
        <v>0</v>
      </c>
    </row>
    <row r="15" spans="1:21" ht="24" customHeight="1">
      <c r="A15" s="496" t="s">
        <v>102</v>
      </c>
      <c r="B15" s="497" t="s">
        <v>426</v>
      </c>
      <c r="C15" s="547">
        <f t="shared" si="2"/>
        <v>900</v>
      </c>
      <c r="D15" s="525">
        <v>100</v>
      </c>
      <c r="E15" s="525">
        <v>800</v>
      </c>
      <c r="F15" s="547"/>
      <c r="G15" s="525"/>
      <c r="H15" s="520">
        <f t="shared" si="3"/>
        <v>900</v>
      </c>
      <c r="I15" s="520">
        <f t="shared" si="4"/>
        <v>900</v>
      </c>
      <c r="J15" s="525">
        <v>800</v>
      </c>
      <c r="K15" s="525"/>
      <c r="L15" s="525"/>
      <c r="M15" s="525">
        <v>100</v>
      </c>
      <c r="N15" s="565"/>
      <c r="O15" s="525"/>
      <c r="P15" s="525"/>
      <c r="Q15" s="525"/>
      <c r="R15" s="525"/>
      <c r="S15" s="566">
        <f t="shared" si="5"/>
        <v>100</v>
      </c>
      <c r="T15" s="569">
        <f t="shared" si="6"/>
        <v>88.88888888888889</v>
      </c>
      <c r="U15" s="487">
        <f t="shared" si="7"/>
        <v>0</v>
      </c>
    </row>
    <row r="16" spans="1:21" ht="24" customHeight="1">
      <c r="A16" s="496" t="s">
        <v>104</v>
      </c>
      <c r="B16" s="497" t="s">
        <v>569</v>
      </c>
      <c r="C16" s="547">
        <f t="shared" si="2"/>
        <v>27282</v>
      </c>
      <c r="D16" s="525"/>
      <c r="E16" s="525">
        <v>27282</v>
      </c>
      <c r="F16" s="547"/>
      <c r="G16" s="525"/>
      <c r="H16" s="520">
        <f t="shared" si="3"/>
        <v>27282</v>
      </c>
      <c r="I16" s="520">
        <f t="shared" si="4"/>
        <v>27282</v>
      </c>
      <c r="J16" s="525"/>
      <c r="K16" s="525"/>
      <c r="L16" s="525"/>
      <c r="M16" s="525">
        <v>27282</v>
      </c>
      <c r="N16" s="565"/>
      <c r="O16" s="525"/>
      <c r="P16" s="525"/>
      <c r="Q16" s="525"/>
      <c r="R16" s="525"/>
      <c r="S16" s="566">
        <f t="shared" si="5"/>
        <v>27282</v>
      </c>
      <c r="T16" s="569">
        <f t="shared" si="6"/>
        <v>0</v>
      </c>
      <c r="U16" s="487">
        <f t="shared" si="7"/>
        <v>0</v>
      </c>
    </row>
    <row r="17" spans="1:21" s="571" customFormat="1" ht="24" customHeight="1">
      <c r="A17" s="496" t="s">
        <v>105</v>
      </c>
      <c r="B17" s="498" t="s">
        <v>431</v>
      </c>
      <c r="C17" s="547">
        <f t="shared" si="2"/>
        <v>3918168</v>
      </c>
      <c r="D17" s="531">
        <v>3733193</v>
      </c>
      <c r="E17" s="531">
        <v>184975</v>
      </c>
      <c r="F17" s="547"/>
      <c r="G17" s="531"/>
      <c r="H17" s="520">
        <f t="shared" si="3"/>
        <v>3918168</v>
      </c>
      <c r="I17" s="520">
        <f t="shared" si="4"/>
        <v>3918168</v>
      </c>
      <c r="J17" s="531">
        <v>144675</v>
      </c>
      <c r="K17" s="531"/>
      <c r="L17" s="531"/>
      <c r="M17" s="531">
        <v>3773493</v>
      </c>
      <c r="N17" s="565"/>
      <c r="O17" s="531"/>
      <c r="P17" s="531"/>
      <c r="Q17" s="531"/>
      <c r="R17" s="525"/>
      <c r="S17" s="566">
        <f t="shared" si="5"/>
        <v>3773493</v>
      </c>
      <c r="T17" s="569">
        <f t="shared" si="6"/>
        <v>3.6924144140833164</v>
      </c>
      <c r="U17" s="487">
        <f t="shared" si="7"/>
        <v>0</v>
      </c>
    </row>
    <row r="18" spans="1:21" s="488" customFormat="1" ht="24" customHeight="1">
      <c r="A18" s="496" t="s">
        <v>107</v>
      </c>
      <c r="B18" s="497" t="s">
        <v>432</v>
      </c>
      <c r="C18" s="547">
        <f t="shared" si="2"/>
        <v>136103395</v>
      </c>
      <c r="D18" s="525">
        <f>4516883+122537151</f>
        <v>127054034</v>
      </c>
      <c r="E18" s="525">
        <f>131586512-122537151</f>
        <v>9049361</v>
      </c>
      <c r="F18" s="547">
        <v>79286567</v>
      </c>
      <c r="G18" s="525"/>
      <c r="H18" s="520">
        <f t="shared" si="3"/>
        <v>56816828</v>
      </c>
      <c r="I18" s="520">
        <f t="shared" si="4"/>
        <v>56816828</v>
      </c>
      <c r="J18" s="525">
        <v>14068301</v>
      </c>
      <c r="K18" s="525"/>
      <c r="L18" s="525"/>
      <c r="M18" s="525">
        <v>42748527</v>
      </c>
      <c r="N18" s="565"/>
      <c r="O18" s="525"/>
      <c r="P18" s="525"/>
      <c r="Q18" s="525"/>
      <c r="R18" s="525"/>
      <c r="S18" s="566">
        <f t="shared" si="5"/>
        <v>42748527</v>
      </c>
      <c r="T18" s="569">
        <f t="shared" si="6"/>
        <v>24.760799740527577</v>
      </c>
      <c r="U18" s="487">
        <f t="shared" si="7"/>
        <v>0</v>
      </c>
    </row>
    <row r="19" spans="1:21" s="488" customFormat="1" ht="24" customHeight="1">
      <c r="A19" s="496" t="s">
        <v>108</v>
      </c>
      <c r="B19" s="497" t="s">
        <v>433</v>
      </c>
      <c r="C19" s="547">
        <f t="shared" si="2"/>
        <v>25915871</v>
      </c>
      <c r="D19" s="525">
        <v>25021546</v>
      </c>
      <c r="E19" s="525">
        <f>198925+5000+1200+500000+200+189000</f>
        <v>894325</v>
      </c>
      <c r="F19" s="547"/>
      <c r="G19" s="525"/>
      <c r="H19" s="520">
        <f t="shared" si="3"/>
        <v>25915871</v>
      </c>
      <c r="I19" s="520">
        <f t="shared" si="4"/>
        <v>25786265</v>
      </c>
      <c r="J19" s="525">
        <f>79200+5000+1200+500000+189000+400</f>
        <v>774800</v>
      </c>
      <c r="K19" s="525"/>
      <c r="L19" s="525"/>
      <c r="M19" s="525">
        <f>119925+24891940-400</f>
        <v>25011465</v>
      </c>
      <c r="N19" s="565"/>
      <c r="O19" s="525"/>
      <c r="P19" s="525"/>
      <c r="Q19" s="525"/>
      <c r="R19" s="525">
        <f>110705+18901</f>
        <v>129606</v>
      </c>
      <c r="S19" s="566">
        <f t="shared" si="5"/>
        <v>25141071</v>
      </c>
      <c r="T19" s="569">
        <f t="shared" si="6"/>
        <v>3.0047003705267126</v>
      </c>
      <c r="U19" s="487">
        <f t="shared" si="7"/>
        <v>0</v>
      </c>
    </row>
    <row r="20" spans="1:21" s="571" customFormat="1" ht="24" customHeight="1">
      <c r="A20" s="496" t="s">
        <v>116</v>
      </c>
      <c r="B20" s="497" t="s">
        <v>434</v>
      </c>
      <c r="C20" s="547">
        <f t="shared" si="2"/>
        <v>1129314</v>
      </c>
      <c r="D20" s="525">
        <v>7200</v>
      </c>
      <c r="E20" s="525">
        <v>1122114</v>
      </c>
      <c r="F20" s="547">
        <v>1022860</v>
      </c>
      <c r="G20" s="525"/>
      <c r="H20" s="520">
        <f t="shared" si="3"/>
        <v>106454</v>
      </c>
      <c r="I20" s="520">
        <f t="shared" si="4"/>
        <v>106454</v>
      </c>
      <c r="J20" s="525">
        <v>56400</v>
      </c>
      <c r="K20" s="525"/>
      <c r="L20" s="525"/>
      <c r="M20" s="525">
        <v>50054</v>
      </c>
      <c r="N20" s="565"/>
      <c r="O20" s="525"/>
      <c r="P20" s="525"/>
      <c r="Q20" s="525"/>
      <c r="R20" s="525"/>
      <c r="S20" s="566">
        <f t="shared" si="5"/>
        <v>50054</v>
      </c>
      <c r="T20" s="569">
        <f t="shared" si="6"/>
        <v>52.980630131324325</v>
      </c>
      <c r="U20" s="487">
        <f t="shared" si="7"/>
        <v>0</v>
      </c>
    </row>
    <row r="21" spans="1:21" s="571" customFormat="1" ht="24" customHeight="1">
      <c r="A21" s="496" t="s">
        <v>420</v>
      </c>
      <c r="B21" s="497" t="s">
        <v>435</v>
      </c>
      <c r="C21" s="547">
        <f t="shared" si="2"/>
        <v>6581232</v>
      </c>
      <c r="D21" s="525">
        <v>0</v>
      </c>
      <c r="E21" s="525">
        <v>6581232</v>
      </c>
      <c r="F21" s="547"/>
      <c r="G21" s="525"/>
      <c r="H21" s="520">
        <f t="shared" si="3"/>
        <v>6581232</v>
      </c>
      <c r="I21" s="520">
        <f t="shared" si="4"/>
        <v>6581232</v>
      </c>
      <c r="J21" s="525">
        <v>6581232</v>
      </c>
      <c r="K21" s="525"/>
      <c r="L21" s="525"/>
      <c r="M21" s="525">
        <v>0</v>
      </c>
      <c r="N21" s="565"/>
      <c r="O21" s="525"/>
      <c r="P21" s="525"/>
      <c r="Q21" s="525">
        <v>0</v>
      </c>
      <c r="R21" s="525"/>
      <c r="S21" s="566">
        <f t="shared" si="5"/>
        <v>0</v>
      </c>
      <c r="T21" s="569">
        <f t="shared" si="6"/>
        <v>100</v>
      </c>
      <c r="U21" s="487">
        <f t="shared" si="7"/>
        <v>0</v>
      </c>
    </row>
    <row r="22" spans="1:21" s="406" customFormat="1" ht="24" customHeight="1">
      <c r="A22" s="496" t="s">
        <v>436</v>
      </c>
      <c r="B22" s="497" t="s">
        <v>437</v>
      </c>
      <c r="C22" s="547">
        <f t="shared" si="2"/>
        <v>187349314</v>
      </c>
      <c r="D22" s="525">
        <v>186962666</v>
      </c>
      <c r="E22" s="525">
        <v>386648</v>
      </c>
      <c r="F22" s="547">
        <v>48220</v>
      </c>
      <c r="G22" s="525"/>
      <c r="H22" s="520">
        <f t="shared" si="3"/>
        <v>187301094</v>
      </c>
      <c r="I22" s="520">
        <f t="shared" si="4"/>
        <v>187301094</v>
      </c>
      <c r="J22" s="525">
        <v>1689360</v>
      </c>
      <c r="K22" s="525"/>
      <c r="L22" s="525"/>
      <c r="M22" s="525">
        <v>185611734</v>
      </c>
      <c r="N22" s="525">
        <v>0</v>
      </c>
      <c r="O22" s="525"/>
      <c r="P22" s="525"/>
      <c r="Q22" s="525"/>
      <c r="R22" s="525"/>
      <c r="S22" s="566">
        <f t="shared" si="5"/>
        <v>185611734</v>
      </c>
      <c r="T22" s="569">
        <f t="shared" si="6"/>
        <v>0.9019488161665515</v>
      </c>
      <c r="U22" s="487">
        <f t="shared" si="7"/>
        <v>0</v>
      </c>
    </row>
    <row r="23" spans="1:21" s="488" customFormat="1" ht="24" customHeight="1">
      <c r="A23" s="496" t="s">
        <v>438</v>
      </c>
      <c r="B23" s="497" t="s">
        <v>439</v>
      </c>
      <c r="C23" s="547">
        <f t="shared" si="2"/>
        <v>93064511</v>
      </c>
      <c r="D23" s="525">
        <v>91718053</v>
      </c>
      <c r="E23" s="525">
        <v>1346458</v>
      </c>
      <c r="F23" s="547">
        <v>1800400</v>
      </c>
      <c r="G23" s="525"/>
      <c r="H23" s="520">
        <f t="shared" si="3"/>
        <v>91264111</v>
      </c>
      <c r="I23" s="520">
        <f t="shared" si="4"/>
        <v>91264111</v>
      </c>
      <c r="J23" s="525">
        <f>2765462+48075+217465</f>
        <v>3031002</v>
      </c>
      <c r="K23" s="525"/>
      <c r="L23" s="525"/>
      <c r="M23" s="525">
        <f>91093021+123015-2765462-217465</f>
        <v>88233109</v>
      </c>
      <c r="N23" s="565"/>
      <c r="O23" s="525"/>
      <c r="P23" s="525"/>
      <c r="Q23" s="525"/>
      <c r="R23" s="525"/>
      <c r="S23" s="566">
        <f t="shared" si="5"/>
        <v>88233109</v>
      </c>
      <c r="T23" s="569">
        <f t="shared" si="6"/>
        <v>3.3211324438365484</v>
      </c>
      <c r="U23" s="487">
        <f t="shared" si="7"/>
        <v>0</v>
      </c>
    </row>
    <row r="24" spans="1:21" s="406" customFormat="1" ht="24" customHeight="1">
      <c r="A24" s="496" t="s">
        <v>440</v>
      </c>
      <c r="B24" s="497" t="s">
        <v>441</v>
      </c>
      <c r="C24" s="547">
        <f t="shared" si="2"/>
        <v>17596982</v>
      </c>
      <c r="D24" s="520">
        <v>183598</v>
      </c>
      <c r="E24" s="520">
        <v>17413384</v>
      </c>
      <c r="F24" s="547">
        <v>38800</v>
      </c>
      <c r="G24" s="567"/>
      <c r="H24" s="520">
        <f t="shared" si="3"/>
        <v>17558182</v>
      </c>
      <c r="I24" s="520">
        <f t="shared" si="4"/>
        <v>17558182</v>
      </c>
      <c r="J24" s="520">
        <v>1123640</v>
      </c>
      <c r="K24" s="520"/>
      <c r="L24" s="522"/>
      <c r="M24" s="522">
        <v>16433002</v>
      </c>
      <c r="N24" s="565"/>
      <c r="O24" s="525"/>
      <c r="P24" s="525"/>
      <c r="Q24" s="525">
        <v>1540</v>
      </c>
      <c r="R24" s="525"/>
      <c r="S24" s="566">
        <f t="shared" si="5"/>
        <v>16434542</v>
      </c>
      <c r="T24" s="569">
        <f t="shared" si="6"/>
        <v>6.399523595324391</v>
      </c>
      <c r="U24" s="487">
        <f t="shared" si="7"/>
        <v>0</v>
      </c>
    </row>
    <row r="25" spans="1:21" s="571" customFormat="1" ht="24" customHeight="1">
      <c r="A25" s="496" t="s">
        <v>442</v>
      </c>
      <c r="B25" s="497" t="s">
        <v>443</v>
      </c>
      <c r="C25" s="547">
        <f t="shared" si="2"/>
        <v>374606234</v>
      </c>
      <c r="D25" s="520">
        <v>372744159</v>
      </c>
      <c r="E25" s="520">
        <v>1862075</v>
      </c>
      <c r="F25" s="547">
        <v>1650470</v>
      </c>
      <c r="G25" s="520"/>
      <c r="H25" s="520">
        <f t="shared" si="3"/>
        <v>372955764</v>
      </c>
      <c r="I25" s="520">
        <f t="shared" si="4"/>
        <v>372955764</v>
      </c>
      <c r="J25" s="520">
        <v>642505</v>
      </c>
      <c r="K25" s="520">
        <v>380697</v>
      </c>
      <c r="L25" s="522"/>
      <c r="M25" s="522">
        <v>371932562</v>
      </c>
      <c r="N25" s="565"/>
      <c r="O25" s="525">
        <v>0</v>
      </c>
      <c r="P25" s="525"/>
      <c r="Q25" s="525"/>
      <c r="R25" s="525"/>
      <c r="S25" s="566">
        <f t="shared" si="5"/>
        <v>371932562</v>
      </c>
      <c r="T25" s="569">
        <f t="shared" si="6"/>
        <v>0.2743494265984853</v>
      </c>
      <c r="U25" s="487">
        <f t="shared" si="7"/>
        <v>0</v>
      </c>
    </row>
    <row r="26" spans="1:21" s="406" customFormat="1" ht="24" customHeight="1">
      <c r="A26" s="496" t="s">
        <v>444</v>
      </c>
      <c r="B26" s="497" t="s">
        <v>445</v>
      </c>
      <c r="C26" s="547">
        <f t="shared" si="2"/>
        <v>122719176</v>
      </c>
      <c r="D26" s="520">
        <v>108043124</v>
      </c>
      <c r="E26" s="520">
        <v>14676052</v>
      </c>
      <c r="F26" s="547">
        <v>24000</v>
      </c>
      <c r="G26" s="520"/>
      <c r="H26" s="520">
        <f t="shared" si="3"/>
        <v>122695176</v>
      </c>
      <c r="I26" s="520">
        <f t="shared" si="4"/>
        <v>122336924</v>
      </c>
      <c r="J26" s="520">
        <f>14717973+11500+5000</f>
        <v>14734473</v>
      </c>
      <c r="K26" s="520"/>
      <c r="L26" s="522"/>
      <c r="M26" s="522">
        <f>99108951-16500</f>
        <v>99092451</v>
      </c>
      <c r="N26" s="522">
        <v>8510000</v>
      </c>
      <c r="O26" s="525"/>
      <c r="P26" s="525"/>
      <c r="Q26" s="525"/>
      <c r="R26" s="525">
        <v>358252</v>
      </c>
      <c r="S26" s="566">
        <f t="shared" si="5"/>
        <v>107960703</v>
      </c>
      <c r="T26" s="569">
        <f t="shared" si="6"/>
        <v>12.044174823293742</v>
      </c>
      <c r="U26" s="487">
        <f t="shared" si="7"/>
        <v>0</v>
      </c>
    </row>
    <row r="27" spans="1:21" s="571" customFormat="1" ht="24" customHeight="1">
      <c r="A27" s="496" t="s">
        <v>446</v>
      </c>
      <c r="B27" s="497" t="s">
        <v>447</v>
      </c>
      <c r="C27" s="547">
        <f t="shared" si="2"/>
        <v>1123105</v>
      </c>
      <c r="D27" s="568">
        <f>405112+463580</f>
        <v>868692</v>
      </c>
      <c r="E27" s="520">
        <v>254413</v>
      </c>
      <c r="F27" s="547"/>
      <c r="G27" s="520"/>
      <c r="H27" s="520">
        <f t="shared" si="3"/>
        <v>1123105</v>
      </c>
      <c r="I27" s="520">
        <f t="shared" si="4"/>
        <v>1123105</v>
      </c>
      <c r="J27" s="520">
        <v>184000</v>
      </c>
      <c r="K27" s="520"/>
      <c r="L27" s="522"/>
      <c r="M27" s="522">
        <f>1123105-184000</f>
        <v>939105</v>
      </c>
      <c r="N27" s="565"/>
      <c r="O27" s="525"/>
      <c r="P27" s="525"/>
      <c r="Q27" s="525"/>
      <c r="R27" s="525"/>
      <c r="S27" s="566">
        <f t="shared" si="5"/>
        <v>939105</v>
      </c>
      <c r="T27" s="569">
        <f t="shared" si="6"/>
        <v>16.38315206503399</v>
      </c>
      <c r="U27" s="487">
        <f t="shared" si="7"/>
        <v>0</v>
      </c>
    </row>
    <row r="28" spans="1:21" s="406" customFormat="1" ht="24" customHeight="1">
      <c r="A28" s="496" t="s">
        <v>448</v>
      </c>
      <c r="B28" s="497" t="s">
        <v>449</v>
      </c>
      <c r="C28" s="547">
        <f>D28+E28</f>
        <v>4766910</v>
      </c>
      <c r="D28" s="520">
        <v>116902</v>
      </c>
      <c r="E28" s="520">
        <v>4650008</v>
      </c>
      <c r="F28" s="547">
        <v>1521002</v>
      </c>
      <c r="G28" s="520"/>
      <c r="H28" s="520">
        <f>I28+R28</f>
        <v>3245908</v>
      </c>
      <c r="I28" s="520">
        <f>SUM(J28:Q28)</f>
        <v>3220908</v>
      </c>
      <c r="J28" s="520">
        <v>938176</v>
      </c>
      <c r="K28" s="520">
        <v>1035579</v>
      </c>
      <c r="L28" s="522"/>
      <c r="M28" s="522">
        <v>1247153</v>
      </c>
      <c r="N28" s="552"/>
      <c r="O28" s="525"/>
      <c r="P28" s="525"/>
      <c r="Q28" s="525"/>
      <c r="R28" s="525">
        <v>25000</v>
      </c>
      <c r="S28" s="566">
        <f>H28-J28-K28-L28</f>
        <v>1272153</v>
      </c>
      <c r="T28" s="569">
        <f t="shared" si="6"/>
        <v>61.279459084208554</v>
      </c>
      <c r="U28" s="487">
        <f t="shared" si="7"/>
        <v>0</v>
      </c>
    </row>
    <row r="29" spans="1:21" s="406" customFormat="1" ht="24" customHeight="1">
      <c r="A29" s="496" t="s">
        <v>450</v>
      </c>
      <c r="B29" s="497" t="s">
        <v>451</v>
      </c>
      <c r="C29" s="547">
        <f t="shared" si="2"/>
        <v>9641796</v>
      </c>
      <c r="D29" s="568">
        <v>31700</v>
      </c>
      <c r="E29" s="520">
        <v>9610096</v>
      </c>
      <c r="F29" s="547">
        <v>4208746</v>
      </c>
      <c r="G29" s="520"/>
      <c r="H29" s="520">
        <f t="shared" si="3"/>
        <v>5433050</v>
      </c>
      <c r="I29" s="520">
        <f t="shared" si="4"/>
        <v>5433050</v>
      </c>
      <c r="J29" s="520">
        <v>152986</v>
      </c>
      <c r="K29" s="520"/>
      <c r="L29" s="522"/>
      <c r="M29" s="522">
        <v>5280064</v>
      </c>
      <c r="N29" s="565"/>
      <c r="O29" s="525"/>
      <c r="P29" s="525"/>
      <c r="Q29" s="525"/>
      <c r="R29" s="525"/>
      <c r="S29" s="566">
        <f t="shared" si="5"/>
        <v>5280064</v>
      </c>
      <c r="T29" s="569">
        <f t="shared" si="6"/>
        <v>2.815840089820635</v>
      </c>
      <c r="U29" s="487">
        <f t="shared" si="7"/>
        <v>0</v>
      </c>
    </row>
    <row r="30" spans="1:21" s="406" customFormat="1" ht="24" customHeight="1">
      <c r="A30" s="403" t="s">
        <v>1</v>
      </c>
      <c r="B30" s="403" t="s">
        <v>452</v>
      </c>
      <c r="C30" s="546">
        <f aca="true" t="shared" si="8" ref="C30:S30">C31+C39+C44+C48+C51+C60+C66+C75+C78+C83+C93+C97+C100+C109+C112</f>
        <v>2558065305</v>
      </c>
      <c r="D30" s="516">
        <f t="shared" si="8"/>
        <v>1928529325</v>
      </c>
      <c r="E30" s="516">
        <f t="shared" si="8"/>
        <v>629535980</v>
      </c>
      <c r="F30" s="516">
        <f t="shared" si="8"/>
        <v>52104090</v>
      </c>
      <c r="G30" s="516">
        <f t="shared" si="8"/>
        <v>13954715</v>
      </c>
      <c r="H30" s="546">
        <f t="shared" si="8"/>
        <v>2505961215</v>
      </c>
      <c r="I30" s="546">
        <f t="shared" si="8"/>
        <v>2199580405</v>
      </c>
      <c r="J30" s="516">
        <f t="shared" si="8"/>
        <v>85414720</v>
      </c>
      <c r="K30" s="516">
        <f t="shared" si="8"/>
        <v>56853272</v>
      </c>
      <c r="L30" s="516">
        <f t="shared" si="8"/>
        <v>3350</v>
      </c>
      <c r="M30" s="516">
        <f t="shared" si="8"/>
        <v>2032387393</v>
      </c>
      <c r="N30" s="516">
        <f t="shared" si="8"/>
        <v>5000840</v>
      </c>
      <c r="O30" s="516">
        <f t="shared" si="8"/>
        <v>9653406</v>
      </c>
      <c r="P30" s="516">
        <f t="shared" si="8"/>
        <v>0</v>
      </c>
      <c r="Q30" s="516">
        <f t="shared" si="8"/>
        <v>10267424</v>
      </c>
      <c r="R30" s="546">
        <f t="shared" si="8"/>
        <v>306380810</v>
      </c>
      <c r="S30" s="546">
        <f t="shared" si="8"/>
        <v>2363689873</v>
      </c>
      <c r="T30" s="570">
        <f t="shared" si="6"/>
        <v>6.468112812634372</v>
      </c>
      <c r="U30" s="405">
        <f>H30-J30-K30-L30-S30</f>
        <v>0</v>
      </c>
    </row>
    <row r="31" spans="1:21" s="406" customFormat="1" ht="24" customHeight="1">
      <c r="A31" s="403">
        <v>1</v>
      </c>
      <c r="B31" s="404" t="s">
        <v>453</v>
      </c>
      <c r="C31" s="517">
        <f>SUM(D31+E31)</f>
        <v>263992310</v>
      </c>
      <c r="D31" s="518">
        <f>SUM(D32+D33+D34+D35+D36+D37+D38)</f>
        <v>237641300</v>
      </c>
      <c r="E31" s="518">
        <f>SUM(E32+E33+E34+E35+E36+E37+E38)</f>
        <v>26351010</v>
      </c>
      <c r="F31" s="518">
        <f>SUM(F32+F33+F34+F35+F36+F37+F38)</f>
        <v>11263514</v>
      </c>
      <c r="G31" s="518">
        <f>SUM(G32+G33+G34+G35+G36+G37+G38)</f>
        <v>0</v>
      </c>
      <c r="H31" s="517">
        <f>SUM(R31+I31)</f>
        <v>252728796</v>
      </c>
      <c r="I31" s="517">
        <f>SUM(Q31+P31+O31+N31+M31+L31+K31+J31)</f>
        <v>188693393</v>
      </c>
      <c r="J31" s="518">
        <f>SUM(J32+J33+J34+J35+J36+J37+J38)</f>
        <v>3077035</v>
      </c>
      <c r="K31" s="518">
        <f aca="true" t="shared" si="9" ref="K31:S31">SUM(K32+K33+K34+K35+K36+K37+K38)</f>
        <v>34585</v>
      </c>
      <c r="L31" s="518">
        <f t="shared" si="9"/>
        <v>0</v>
      </c>
      <c r="M31" s="518">
        <f t="shared" si="9"/>
        <v>184773985</v>
      </c>
      <c r="N31" s="518">
        <f t="shared" si="9"/>
        <v>807788</v>
      </c>
      <c r="O31" s="518">
        <f t="shared" si="9"/>
        <v>0</v>
      </c>
      <c r="P31" s="518">
        <f t="shared" si="9"/>
        <v>0</v>
      </c>
      <c r="Q31" s="518">
        <f t="shared" si="9"/>
        <v>0</v>
      </c>
      <c r="R31" s="517">
        <f t="shared" si="9"/>
        <v>64035403</v>
      </c>
      <c r="S31" s="517">
        <f t="shared" si="9"/>
        <v>249617176</v>
      </c>
      <c r="T31" s="570">
        <f t="shared" si="6"/>
        <v>1.6490349505772044</v>
      </c>
      <c r="U31" s="405">
        <f t="shared" si="7"/>
        <v>0</v>
      </c>
    </row>
    <row r="32" spans="1:21" s="406" customFormat="1" ht="24" customHeight="1">
      <c r="A32" s="486">
        <v>1.1</v>
      </c>
      <c r="B32" s="490" t="s">
        <v>454</v>
      </c>
      <c r="C32" s="519">
        <f aca="true" t="shared" si="10" ref="C32:C38">SUM(D32+E32)</f>
        <v>393169</v>
      </c>
      <c r="D32" s="520">
        <v>382669</v>
      </c>
      <c r="E32" s="520">
        <v>10500</v>
      </c>
      <c r="F32" s="520">
        <v>200</v>
      </c>
      <c r="G32" s="520"/>
      <c r="H32" s="519">
        <f aca="true" t="shared" si="11" ref="H32:H38">SUM(R32+I32)</f>
        <v>392969</v>
      </c>
      <c r="I32" s="519">
        <f aca="true" t="shared" si="12" ref="I32:I38">SUM(Q32+P32+O32+N32+M32+L32+K32+J32)</f>
        <v>392969</v>
      </c>
      <c r="J32" s="520">
        <v>392969</v>
      </c>
      <c r="K32" s="520"/>
      <c r="L32" s="520"/>
      <c r="M32" s="520">
        <v>0</v>
      </c>
      <c r="N32" s="520">
        <v>0</v>
      </c>
      <c r="O32" s="520"/>
      <c r="P32" s="520">
        <v>0</v>
      </c>
      <c r="Q32" s="520">
        <v>0</v>
      </c>
      <c r="R32" s="547">
        <v>0</v>
      </c>
      <c r="S32" s="547">
        <f>H32-J32-K32-L32</f>
        <v>0</v>
      </c>
      <c r="T32" s="569">
        <f t="shared" si="6"/>
        <v>100</v>
      </c>
      <c r="U32" s="487">
        <f t="shared" si="7"/>
        <v>0</v>
      </c>
    </row>
    <row r="33" spans="1:21" s="406" customFormat="1" ht="24" customHeight="1">
      <c r="A33" s="486">
        <v>1.2</v>
      </c>
      <c r="B33" s="490" t="s">
        <v>455</v>
      </c>
      <c r="C33" s="519">
        <f t="shared" si="10"/>
        <v>64148</v>
      </c>
      <c r="D33" s="520">
        <v>0</v>
      </c>
      <c r="E33" s="520">
        <v>64148</v>
      </c>
      <c r="F33" s="520">
        <v>0</v>
      </c>
      <c r="G33" s="520">
        <v>0</v>
      </c>
      <c r="H33" s="519">
        <f t="shared" si="11"/>
        <v>64148</v>
      </c>
      <c r="I33" s="519">
        <f t="shared" si="12"/>
        <v>64148</v>
      </c>
      <c r="J33" s="520">
        <v>63548</v>
      </c>
      <c r="K33" s="520">
        <v>0</v>
      </c>
      <c r="L33" s="520">
        <v>0</v>
      </c>
      <c r="M33" s="520">
        <v>600</v>
      </c>
      <c r="N33" s="520">
        <v>0</v>
      </c>
      <c r="O33" s="520">
        <v>0</v>
      </c>
      <c r="P33" s="520">
        <v>0</v>
      </c>
      <c r="Q33" s="520">
        <v>0</v>
      </c>
      <c r="R33" s="547">
        <v>0</v>
      </c>
      <c r="S33" s="547">
        <f aca="true" t="shared" si="13" ref="S33:S97">H33-J33-K33-L33</f>
        <v>600</v>
      </c>
      <c r="T33" s="569">
        <f t="shared" si="6"/>
        <v>99.06466296688907</v>
      </c>
      <c r="U33" s="487">
        <f t="shared" si="7"/>
        <v>0</v>
      </c>
    </row>
    <row r="34" spans="1:21" s="406" customFormat="1" ht="24" customHeight="1">
      <c r="A34" s="486">
        <v>1.3</v>
      </c>
      <c r="B34" s="490" t="s">
        <v>456</v>
      </c>
      <c r="C34" s="519">
        <f t="shared" si="10"/>
        <v>182406349</v>
      </c>
      <c r="D34" s="520">
        <v>180412236</v>
      </c>
      <c r="E34" s="520">
        <v>1994113</v>
      </c>
      <c r="F34" s="520">
        <v>10260722</v>
      </c>
      <c r="G34" s="520"/>
      <c r="H34" s="519">
        <f t="shared" si="11"/>
        <v>172145627</v>
      </c>
      <c r="I34" s="519">
        <f t="shared" si="12"/>
        <v>129299684</v>
      </c>
      <c r="J34" s="520">
        <v>387101</v>
      </c>
      <c r="K34" s="520">
        <v>14340</v>
      </c>
      <c r="L34" s="520"/>
      <c r="M34" s="520">
        <v>128898243</v>
      </c>
      <c r="N34" s="520">
        <v>0</v>
      </c>
      <c r="O34" s="520"/>
      <c r="P34" s="520"/>
      <c r="Q34" s="520">
        <v>0</v>
      </c>
      <c r="R34" s="547">
        <v>42845943</v>
      </c>
      <c r="S34" s="547">
        <f t="shared" si="13"/>
        <v>171744186</v>
      </c>
      <c r="T34" s="569">
        <f t="shared" si="6"/>
        <v>0.3104733032448865</v>
      </c>
      <c r="U34" s="487">
        <f t="shared" si="7"/>
        <v>0</v>
      </c>
    </row>
    <row r="35" spans="1:21" s="406" customFormat="1" ht="24" customHeight="1">
      <c r="A35" s="486">
        <v>1.4</v>
      </c>
      <c r="B35" s="490" t="s">
        <v>457</v>
      </c>
      <c r="C35" s="519">
        <f t="shared" si="10"/>
        <v>51414476</v>
      </c>
      <c r="D35" s="520">
        <v>39841194</v>
      </c>
      <c r="E35" s="520">
        <v>11573282</v>
      </c>
      <c r="F35" s="520">
        <v>200</v>
      </c>
      <c r="G35" s="520"/>
      <c r="H35" s="519">
        <f t="shared" si="11"/>
        <v>51414276</v>
      </c>
      <c r="I35" s="519">
        <f t="shared" si="12"/>
        <v>38937847</v>
      </c>
      <c r="J35" s="520">
        <v>963002</v>
      </c>
      <c r="K35" s="520">
        <v>4337</v>
      </c>
      <c r="L35" s="520"/>
      <c r="M35" s="520">
        <v>37270508</v>
      </c>
      <c r="N35" s="520">
        <v>700000</v>
      </c>
      <c r="O35" s="520"/>
      <c r="P35" s="520"/>
      <c r="Q35" s="520"/>
      <c r="R35" s="547">
        <v>12476429</v>
      </c>
      <c r="S35" s="547">
        <f t="shared" si="13"/>
        <v>50446937</v>
      </c>
      <c r="T35" s="569">
        <f t="shared" si="6"/>
        <v>2.4843155811876296</v>
      </c>
      <c r="U35" s="487">
        <f t="shared" si="7"/>
        <v>0</v>
      </c>
    </row>
    <row r="36" spans="1:21" s="406" customFormat="1" ht="24" customHeight="1">
      <c r="A36" s="486">
        <v>1.5</v>
      </c>
      <c r="B36" s="490" t="s">
        <v>458</v>
      </c>
      <c r="C36" s="519">
        <f t="shared" si="10"/>
        <v>13916340</v>
      </c>
      <c r="D36" s="520">
        <v>9274477</v>
      </c>
      <c r="E36" s="520">
        <v>4641863</v>
      </c>
      <c r="F36" s="520">
        <v>966820</v>
      </c>
      <c r="G36" s="520"/>
      <c r="H36" s="519">
        <f t="shared" si="11"/>
        <v>12949520</v>
      </c>
      <c r="I36" s="519">
        <f t="shared" si="12"/>
        <v>5237487</v>
      </c>
      <c r="J36" s="520">
        <v>166393</v>
      </c>
      <c r="K36" s="520">
        <v>9912</v>
      </c>
      <c r="L36" s="520"/>
      <c r="M36" s="520">
        <v>5061182</v>
      </c>
      <c r="N36" s="520">
        <v>0</v>
      </c>
      <c r="O36" s="520"/>
      <c r="P36" s="520"/>
      <c r="Q36" s="520">
        <v>0</v>
      </c>
      <c r="R36" s="547">
        <v>7712033</v>
      </c>
      <c r="S36" s="547">
        <f t="shared" si="13"/>
        <v>12773215</v>
      </c>
      <c r="T36" s="569">
        <f t="shared" si="6"/>
        <v>3.3662136058762533</v>
      </c>
      <c r="U36" s="487">
        <f t="shared" si="7"/>
        <v>0</v>
      </c>
    </row>
    <row r="37" spans="1:21" s="406" customFormat="1" ht="24" customHeight="1">
      <c r="A37" s="486">
        <v>1.6</v>
      </c>
      <c r="B37" s="490" t="s">
        <v>459</v>
      </c>
      <c r="C37" s="519">
        <f t="shared" si="10"/>
        <v>9927052</v>
      </c>
      <c r="D37" s="520">
        <v>4298477</v>
      </c>
      <c r="E37" s="520">
        <v>5628575</v>
      </c>
      <c r="F37" s="520">
        <v>35572</v>
      </c>
      <c r="G37" s="520"/>
      <c r="H37" s="519">
        <f t="shared" si="11"/>
        <v>9891480</v>
      </c>
      <c r="I37" s="519">
        <f t="shared" si="12"/>
        <v>9479652</v>
      </c>
      <c r="J37" s="520">
        <v>1026637</v>
      </c>
      <c r="K37" s="520">
        <v>5996</v>
      </c>
      <c r="L37" s="520" t="s">
        <v>427</v>
      </c>
      <c r="M37" s="520">
        <v>8339231</v>
      </c>
      <c r="N37" s="520">
        <v>107788</v>
      </c>
      <c r="O37" s="520"/>
      <c r="P37" s="520"/>
      <c r="Q37" s="520"/>
      <c r="R37" s="547">
        <v>411828</v>
      </c>
      <c r="S37" s="547">
        <f t="shared" si="13"/>
        <v>8858847</v>
      </c>
      <c r="T37" s="569">
        <f t="shared" si="6"/>
        <v>10.893153039795132</v>
      </c>
      <c r="U37" s="487">
        <f t="shared" si="7"/>
        <v>0</v>
      </c>
    </row>
    <row r="38" spans="1:21" s="406" customFormat="1" ht="24" customHeight="1">
      <c r="A38" s="486">
        <v>1.6</v>
      </c>
      <c r="B38" s="490" t="s">
        <v>570</v>
      </c>
      <c r="C38" s="519">
        <f t="shared" si="10"/>
        <v>5870776</v>
      </c>
      <c r="D38" s="520">
        <v>3432247</v>
      </c>
      <c r="E38" s="520">
        <v>2438529</v>
      </c>
      <c r="F38" s="520"/>
      <c r="G38" s="520"/>
      <c r="H38" s="519">
        <f t="shared" si="11"/>
        <v>5870776</v>
      </c>
      <c r="I38" s="519">
        <f t="shared" si="12"/>
        <v>5281606</v>
      </c>
      <c r="J38" s="520">
        <v>77385</v>
      </c>
      <c r="K38" s="520"/>
      <c r="L38" s="520"/>
      <c r="M38" s="520">
        <v>5204221</v>
      </c>
      <c r="N38" s="520"/>
      <c r="O38" s="520"/>
      <c r="P38" s="520"/>
      <c r="Q38" s="520"/>
      <c r="R38" s="547">
        <v>589170</v>
      </c>
      <c r="S38" s="547">
        <f t="shared" si="13"/>
        <v>5793391</v>
      </c>
      <c r="T38" s="569">
        <f t="shared" si="6"/>
        <v>1.4651793412836929</v>
      </c>
      <c r="U38" s="487">
        <f t="shared" si="7"/>
        <v>0</v>
      </c>
    </row>
    <row r="39" spans="1:21" s="406" customFormat="1" ht="24" customHeight="1">
      <c r="A39" s="403">
        <v>2</v>
      </c>
      <c r="B39" s="404" t="s">
        <v>461</v>
      </c>
      <c r="C39" s="546">
        <f>D39+E39</f>
        <v>61311366</v>
      </c>
      <c r="D39" s="516">
        <f>D40+D41+D42+D43</f>
        <v>10199630</v>
      </c>
      <c r="E39" s="516">
        <f>E40+E41+E42+E43</f>
        <v>51111736</v>
      </c>
      <c r="F39" s="516">
        <f>F40+F41+F42+F43</f>
        <v>64280</v>
      </c>
      <c r="G39" s="516">
        <f>G40+G41+G42+G43</f>
        <v>0</v>
      </c>
      <c r="H39" s="546">
        <f aca="true" t="shared" si="14" ref="H39:H47">I39+R39</f>
        <v>61247086</v>
      </c>
      <c r="I39" s="546">
        <f>Q39+P39+O39+N39+M39+L39+K39+J39</f>
        <v>58424588</v>
      </c>
      <c r="J39" s="516">
        <f>J40+J41+J42+J43</f>
        <v>669355</v>
      </c>
      <c r="K39" s="516">
        <f aca="true" t="shared" si="15" ref="K39:R39">K40+K41+K42+K43</f>
        <v>58813</v>
      </c>
      <c r="L39" s="516">
        <f t="shared" si="15"/>
        <v>3350</v>
      </c>
      <c r="M39" s="516">
        <f t="shared" si="15"/>
        <v>57693070</v>
      </c>
      <c r="N39" s="516">
        <f t="shared" si="15"/>
        <v>0</v>
      </c>
      <c r="O39" s="516">
        <f t="shared" si="15"/>
        <v>0</v>
      </c>
      <c r="P39" s="516">
        <f t="shared" si="15"/>
        <v>0</v>
      </c>
      <c r="Q39" s="516">
        <f t="shared" si="15"/>
        <v>0</v>
      </c>
      <c r="R39" s="546">
        <f t="shared" si="15"/>
        <v>2822498</v>
      </c>
      <c r="S39" s="546">
        <f>H39-J39-K39-L39</f>
        <v>60515568</v>
      </c>
      <c r="T39" s="570">
        <f t="shared" si="6"/>
        <v>1.2520721583864656</v>
      </c>
      <c r="U39" s="405">
        <f t="shared" si="7"/>
        <v>0</v>
      </c>
    </row>
    <row r="40" spans="1:21" s="406" customFormat="1" ht="24" customHeight="1">
      <c r="A40" s="486">
        <v>2.1</v>
      </c>
      <c r="B40" s="491" t="s">
        <v>462</v>
      </c>
      <c r="C40" s="547">
        <f>D40+E40</f>
        <v>215737</v>
      </c>
      <c r="D40" s="520"/>
      <c r="E40" s="520">
        <v>215737</v>
      </c>
      <c r="F40" s="520">
        <v>43000</v>
      </c>
      <c r="G40" s="520"/>
      <c r="H40" s="547">
        <f t="shared" si="14"/>
        <v>172737</v>
      </c>
      <c r="I40" s="547">
        <f aca="true" t="shared" si="16" ref="I40:I47">J40+K40+L40+M40+N40+O40+P40+Q40</f>
        <v>172737</v>
      </c>
      <c r="J40" s="520">
        <v>172737</v>
      </c>
      <c r="K40" s="520"/>
      <c r="L40" s="520"/>
      <c r="M40" s="520">
        <v>0</v>
      </c>
      <c r="N40" s="520"/>
      <c r="O40" s="520"/>
      <c r="P40" s="520"/>
      <c r="Q40" s="522"/>
      <c r="R40" s="548">
        <v>0</v>
      </c>
      <c r="S40" s="547">
        <f t="shared" si="13"/>
        <v>0</v>
      </c>
      <c r="T40" s="569">
        <f t="shared" si="6"/>
        <v>100</v>
      </c>
      <c r="U40" s="487">
        <f t="shared" si="7"/>
        <v>0</v>
      </c>
    </row>
    <row r="41" spans="1:21" s="406" customFormat="1" ht="24" customHeight="1">
      <c r="A41" s="486">
        <v>2.2</v>
      </c>
      <c r="B41" s="491" t="s">
        <v>463</v>
      </c>
      <c r="C41" s="547">
        <f>D41+E41</f>
        <v>8893234</v>
      </c>
      <c r="D41" s="520">
        <v>6377841</v>
      </c>
      <c r="E41" s="520">
        <v>2515393</v>
      </c>
      <c r="F41" s="520">
        <v>20000</v>
      </c>
      <c r="G41" s="520"/>
      <c r="H41" s="547">
        <f t="shared" si="14"/>
        <v>8873234</v>
      </c>
      <c r="I41" s="547">
        <f t="shared" si="16"/>
        <v>8396245</v>
      </c>
      <c r="J41" s="520">
        <v>235013</v>
      </c>
      <c r="K41" s="520">
        <v>19463</v>
      </c>
      <c r="L41" s="520"/>
      <c r="M41" s="520">
        <v>8141769</v>
      </c>
      <c r="N41" s="520"/>
      <c r="O41" s="520"/>
      <c r="P41" s="520"/>
      <c r="Q41" s="522"/>
      <c r="R41" s="548">
        <v>476989</v>
      </c>
      <c r="S41" s="547">
        <f t="shared" si="13"/>
        <v>8618758</v>
      </c>
      <c r="T41" s="569">
        <f t="shared" si="6"/>
        <v>3.030831044115554</v>
      </c>
      <c r="U41" s="487">
        <f t="shared" si="7"/>
        <v>0</v>
      </c>
    </row>
    <row r="42" spans="1:21" s="406" customFormat="1" ht="24" customHeight="1">
      <c r="A42" s="486">
        <v>2.3</v>
      </c>
      <c r="B42" s="491" t="s">
        <v>464</v>
      </c>
      <c r="C42" s="547">
        <f>D42+E42</f>
        <v>45014384</v>
      </c>
      <c r="D42" s="520">
        <v>1900771</v>
      </c>
      <c r="E42" s="520">
        <v>43113613</v>
      </c>
      <c r="F42" s="520"/>
      <c r="G42" s="520"/>
      <c r="H42" s="547">
        <f t="shared" si="14"/>
        <v>45014384</v>
      </c>
      <c r="I42" s="547">
        <f t="shared" si="16"/>
        <v>43822725</v>
      </c>
      <c r="J42" s="520">
        <v>174547</v>
      </c>
      <c r="K42" s="520">
        <v>32000</v>
      </c>
      <c r="L42" s="520">
        <v>3350</v>
      </c>
      <c r="M42" s="520">
        <v>43612828</v>
      </c>
      <c r="N42" s="520"/>
      <c r="O42" s="520"/>
      <c r="P42" s="520"/>
      <c r="Q42" s="522">
        <v>0</v>
      </c>
      <c r="R42" s="548">
        <v>1191659</v>
      </c>
      <c r="S42" s="547">
        <f t="shared" si="13"/>
        <v>44804487</v>
      </c>
      <c r="T42" s="569">
        <f t="shared" si="6"/>
        <v>0.47896838911774653</v>
      </c>
      <c r="U42" s="487">
        <f t="shared" si="7"/>
        <v>0</v>
      </c>
    </row>
    <row r="43" spans="1:21" s="406" customFormat="1" ht="24" customHeight="1">
      <c r="A43" s="486">
        <v>2.4</v>
      </c>
      <c r="B43" s="491" t="s">
        <v>465</v>
      </c>
      <c r="C43" s="547">
        <f>D43+E43</f>
        <v>7188011</v>
      </c>
      <c r="D43" s="520">
        <v>1921018</v>
      </c>
      <c r="E43" s="520">
        <v>5266993</v>
      </c>
      <c r="F43" s="520">
        <v>1280</v>
      </c>
      <c r="G43" s="520"/>
      <c r="H43" s="547">
        <f t="shared" si="14"/>
        <v>7186731</v>
      </c>
      <c r="I43" s="547">
        <f t="shared" si="16"/>
        <v>6032881</v>
      </c>
      <c r="J43" s="520">
        <v>87058</v>
      </c>
      <c r="K43" s="520">
        <v>7350</v>
      </c>
      <c r="L43" s="520"/>
      <c r="M43" s="520">
        <v>5938473</v>
      </c>
      <c r="N43" s="520"/>
      <c r="O43" s="520"/>
      <c r="P43" s="520"/>
      <c r="Q43" s="522"/>
      <c r="R43" s="548">
        <v>1153850</v>
      </c>
      <c r="S43" s="547">
        <f t="shared" si="13"/>
        <v>7092323</v>
      </c>
      <c r="T43" s="569">
        <f t="shared" si="6"/>
        <v>1.564890804244274</v>
      </c>
      <c r="U43" s="487">
        <f t="shared" si="7"/>
        <v>0</v>
      </c>
    </row>
    <row r="44" spans="1:21" s="406" customFormat="1" ht="24" customHeight="1">
      <c r="A44" s="403">
        <v>3</v>
      </c>
      <c r="B44" s="404" t="s">
        <v>466</v>
      </c>
      <c r="C44" s="549">
        <f>C45+C46+C47</f>
        <v>33122655</v>
      </c>
      <c r="D44" s="523">
        <f aca="true" t="shared" si="17" ref="D44:R44">D45+D46+D47</f>
        <v>31349167</v>
      </c>
      <c r="E44" s="523">
        <f>E45+E46+E47</f>
        <v>1773488</v>
      </c>
      <c r="F44" s="523">
        <f t="shared" si="17"/>
        <v>400</v>
      </c>
      <c r="G44" s="523">
        <f t="shared" si="17"/>
        <v>0</v>
      </c>
      <c r="H44" s="549">
        <f t="shared" si="14"/>
        <v>33122255</v>
      </c>
      <c r="I44" s="549">
        <f t="shared" si="16"/>
        <v>31699030</v>
      </c>
      <c r="J44" s="523">
        <f t="shared" si="17"/>
        <v>1796936</v>
      </c>
      <c r="K44" s="523">
        <f t="shared" si="17"/>
        <v>39737</v>
      </c>
      <c r="L44" s="523">
        <f t="shared" si="17"/>
        <v>0</v>
      </c>
      <c r="M44" s="523">
        <f t="shared" si="17"/>
        <v>20138064</v>
      </c>
      <c r="N44" s="523">
        <f t="shared" si="17"/>
        <v>0</v>
      </c>
      <c r="O44" s="523">
        <f t="shared" si="17"/>
        <v>9651181</v>
      </c>
      <c r="P44" s="523">
        <f t="shared" si="17"/>
        <v>0</v>
      </c>
      <c r="Q44" s="523">
        <f t="shared" si="17"/>
        <v>73112</v>
      </c>
      <c r="R44" s="549">
        <f t="shared" si="17"/>
        <v>1423225</v>
      </c>
      <c r="S44" s="546">
        <f>H44-J44-K44-L44</f>
        <v>31285582</v>
      </c>
      <c r="T44" s="570">
        <f t="shared" si="6"/>
        <v>5.794098431403106</v>
      </c>
      <c r="U44" s="405">
        <f t="shared" si="7"/>
        <v>0</v>
      </c>
    </row>
    <row r="45" spans="1:21" s="406" customFormat="1" ht="24" customHeight="1">
      <c r="A45" s="486">
        <v>3.1</v>
      </c>
      <c r="B45" s="486" t="s">
        <v>467</v>
      </c>
      <c r="C45" s="550">
        <f>D45+E45</f>
        <v>9512720</v>
      </c>
      <c r="D45" s="524">
        <v>9447774</v>
      </c>
      <c r="E45" s="524">
        <v>64946</v>
      </c>
      <c r="F45" s="524">
        <v>200</v>
      </c>
      <c r="G45" s="524"/>
      <c r="H45" s="550">
        <f t="shared" si="14"/>
        <v>9512520</v>
      </c>
      <c r="I45" s="550">
        <f t="shared" si="16"/>
        <v>9436620</v>
      </c>
      <c r="J45" s="524">
        <v>39366</v>
      </c>
      <c r="K45" s="524"/>
      <c r="L45" s="524"/>
      <c r="M45" s="524">
        <v>9324142</v>
      </c>
      <c r="N45" s="524"/>
      <c r="O45" s="524"/>
      <c r="P45" s="524"/>
      <c r="Q45" s="524">
        <v>73112</v>
      </c>
      <c r="R45" s="551">
        <v>75900</v>
      </c>
      <c r="S45" s="547">
        <f t="shared" si="13"/>
        <v>9473154</v>
      </c>
      <c r="T45" s="569">
        <f t="shared" si="6"/>
        <v>0.41716207709963954</v>
      </c>
      <c r="U45" s="487">
        <f t="shared" si="7"/>
        <v>0</v>
      </c>
    </row>
    <row r="46" spans="1:21" s="406" customFormat="1" ht="24" customHeight="1">
      <c r="A46" s="486">
        <v>3.2</v>
      </c>
      <c r="B46" s="486" t="s">
        <v>468</v>
      </c>
      <c r="C46" s="550">
        <f>D46+E46</f>
        <v>9702190</v>
      </c>
      <c r="D46" s="524">
        <v>8799066</v>
      </c>
      <c r="E46" s="524">
        <v>903124</v>
      </c>
      <c r="F46" s="524">
        <v>200</v>
      </c>
      <c r="G46" s="524"/>
      <c r="H46" s="550">
        <f t="shared" si="14"/>
        <v>9701990</v>
      </c>
      <c r="I46" s="550">
        <f t="shared" si="16"/>
        <v>8821509</v>
      </c>
      <c r="J46" s="524">
        <v>1712615</v>
      </c>
      <c r="K46" s="524">
        <v>5000</v>
      </c>
      <c r="L46" s="524"/>
      <c r="M46" s="524">
        <v>7103894</v>
      </c>
      <c r="N46" s="524"/>
      <c r="O46" s="524"/>
      <c r="P46" s="524"/>
      <c r="Q46" s="524"/>
      <c r="R46" s="551">
        <v>880481</v>
      </c>
      <c r="S46" s="547">
        <f t="shared" si="13"/>
        <v>7984375</v>
      </c>
      <c r="T46" s="569">
        <f t="shared" si="6"/>
        <v>19.470761748358473</v>
      </c>
      <c r="U46" s="487">
        <f t="shared" si="7"/>
        <v>0</v>
      </c>
    </row>
    <row r="47" spans="1:21" s="406" customFormat="1" ht="24" customHeight="1">
      <c r="A47" s="486">
        <v>3.3</v>
      </c>
      <c r="B47" s="486" t="s">
        <v>469</v>
      </c>
      <c r="C47" s="550">
        <f>D47+E47</f>
        <v>13907745</v>
      </c>
      <c r="D47" s="524">
        <v>13102327</v>
      </c>
      <c r="E47" s="524">
        <v>805418</v>
      </c>
      <c r="F47" s="524"/>
      <c r="G47" s="524"/>
      <c r="H47" s="550">
        <f t="shared" si="14"/>
        <v>13907745</v>
      </c>
      <c r="I47" s="550">
        <f t="shared" si="16"/>
        <v>13440901</v>
      </c>
      <c r="J47" s="524">
        <v>44955</v>
      </c>
      <c r="K47" s="524">
        <v>34737</v>
      </c>
      <c r="L47" s="524">
        <v>0</v>
      </c>
      <c r="M47" s="524">
        <v>3710028</v>
      </c>
      <c r="N47" s="524"/>
      <c r="O47" s="524">
        <v>9651181</v>
      </c>
      <c r="P47" s="524"/>
      <c r="Q47" s="524">
        <v>0</v>
      </c>
      <c r="R47" s="551">
        <v>466844</v>
      </c>
      <c r="S47" s="547">
        <f t="shared" si="13"/>
        <v>13828053</v>
      </c>
      <c r="T47" s="569">
        <f t="shared" si="6"/>
        <v>0.5929066808839675</v>
      </c>
      <c r="U47" s="487">
        <f t="shared" si="7"/>
        <v>0</v>
      </c>
    </row>
    <row r="48" spans="1:21" s="406" customFormat="1" ht="24" customHeight="1">
      <c r="A48" s="403">
        <v>4</v>
      </c>
      <c r="B48" s="404" t="s">
        <v>470</v>
      </c>
      <c r="C48" s="546">
        <v>0</v>
      </c>
      <c r="D48" s="516"/>
      <c r="E48" s="516"/>
      <c r="F48" s="516"/>
      <c r="G48" s="516"/>
      <c r="H48" s="546"/>
      <c r="I48" s="546"/>
      <c r="J48" s="516"/>
      <c r="K48" s="516"/>
      <c r="L48" s="516"/>
      <c r="M48" s="516"/>
      <c r="N48" s="516"/>
      <c r="O48" s="516"/>
      <c r="P48" s="516"/>
      <c r="Q48" s="516"/>
      <c r="R48" s="546"/>
      <c r="S48" s="546">
        <f t="shared" si="13"/>
        <v>0</v>
      </c>
      <c r="T48" s="570" t="e">
        <f t="shared" si="6"/>
        <v>#DIV/0!</v>
      </c>
      <c r="U48" s="405">
        <f t="shared" si="7"/>
        <v>0</v>
      </c>
    </row>
    <row r="49" spans="1:21" s="406" customFormat="1" ht="24" customHeight="1">
      <c r="A49" s="486">
        <v>1</v>
      </c>
      <c r="B49" s="489" t="s">
        <v>471</v>
      </c>
      <c r="C49" s="547">
        <v>0</v>
      </c>
      <c r="D49" s="547"/>
      <c r="E49" s="520"/>
      <c r="F49" s="520"/>
      <c r="G49" s="520"/>
      <c r="H49" s="547"/>
      <c r="I49" s="547"/>
      <c r="J49" s="520"/>
      <c r="K49" s="520"/>
      <c r="L49" s="522"/>
      <c r="M49" s="522"/>
      <c r="N49" s="522"/>
      <c r="O49" s="525"/>
      <c r="P49" s="525"/>
      <c r="Q49" s="525"/>
      <c r="R49" s="552"/>
      <c r="S49" s="547">
        <f t="shared" si="13"/>
        <v>0</v>
      </c>
      <c r="T49" s="569" t="e">
        <f t="shared" si="6"/>
        <v>#DIV/0!</v>
      </c>
      <c r="U49" s="487">
        <f t="shared" si="7"/>
        <v>0</v>
      </c>
    </row>
    <row r="50" spans="1:21" s="406" customFormat="1" ht="24" customHeight="1">
      <c r="A50" s="486">
        <v>2</v>
      </c>
      <c r="B50" s="489" t="s">
        <v>472</v>
      </c>
      <c r="C50" s="547">
        <v>0</v>
      </c>
      <c r="D50" s="547"/>
      <c r="E50" s="520"/>
      <c r="F50" s="520"/>
      <c r="G50" s="520"/>
      <c r="H50" s="547"/>
      <c r="I50" s="547"/>
      <c r="J50" s="520"/>
      <c r="K50" s="520"/>
      <c r="L50" s="522"/>
      <c r="M50" s="522"/>
      <c r="N50" s="522"/>
      <c r="O50" s="525"/>
      <c r="P50" s="525"/>
      <c r="Q50" s="525"/>
      <c r="R50" s="552"/>
      <c r="S50" s="547">
        <f t="shared" si="13"/>
        <v>0</v>
      </c>
      <c r="T50" s="569" t="e">
        <f t="shared" si="6"/>
        <v>#DIV/0!</v>
      </c>
      <c r="U50" s="487">
        <f t="shared" si="7"/>
        <v>0</v>
      </c>
    </row>
    <row r="51" spans="1:21" s="406" customFormat="1" ht="24" customHeight="1">
      <c r="A51" s="403">
        <v>5</v>
      </c>
      <c r="B51" s="404" t="s">
        <v>473</v>
      </c>
      <c r="C51" s="553">
        <f>D51+E51</f>
        <v>261643151</v>
      </c>
      <c r="D51" s="526">
        <f>SUM(D52:D59)</f>
        <v>202679641</v>
      </c>
      <c r="E51" s="526">
        <f>SUM(E52:E59)</f>
        <v>58963510</v>
      </c>
      <c r="F51" s="526">
        <f>SUM(F52:F59)</f>
        <v>1991043</v>
      </c>
      <c r="G51" s="526">
        <f aca="true" t="shared" si="18" ref="G51:R51">SUM(G52:G59)</f>
        <v>13954715</v>
      </c>
      <c r="H51" s="553">
        <f>SUM(H52:H59)</f>
        <v>259652108</v>
      </c>
      <c r="I51" s="553">
        <f>SUM(I52:I59)</f>
        <v>169907043</v>
      </c>
      <c r="J51" s="526">
        <f t="shared" si="18"/>
        <v>16819920</v>
      </c>
      <c r="K51" s="526">
        <f t="shared" si="18"/>
        <v>20300</v>
      </c>
      <c r="L51" s="526">
        <f t="shared" si="18"/>
        <v>0</v>
      </c>
      <c r="M51" s="526">
        <f>SUM(M52:M59)</f>
        <v>153064598</v>
      </c>
      <c r="N51" s="526">
        <f t="shared" si="18"/>
        <v>0</v>
      </c>
      <c r="O51" s="526">
        <f t="shared" si="18"/>
        <v>2225</v>
      </c>
      <c r="P51" s="526">
        <f t="shared" si="18"/>
        <v>0</v>
      </c>
      <c r="Q51" s="526">
        <f t="shared" si="18"/>
        <v>0</v>
      </c>
      <c r="R51" s="553">
        <f t="shared" si="18"/>
        <v>89745065</v>
      </c>
      <c r="S51" s="546">
        <f t="shared" si="13"/>
        <v>242811888</v>
      </c>
      <c r="T51" s="570">
        <f t="shared" si="6"/>
        <v>9.911431393694492</v>
      </c>
      <c r="U51" s="405">
        <f t="shared" si="7"/>
        <v>0</v>
      </c>
    </row>
    <row r="52" spans="1:21" s="406" customFormat="1" ht="24" customHeight="1">
      <c r="A52" s="491" t="s">
        <v>113</v>
      </c>
      <c r="B52" s="492" t="s">
        <v>474</v>
      </c>
      <c r="C52" s="554">
        <f>D52+E52</f>
        <v>4287112</v>
      </c>
      <c r="D52" s="527">
        <v>4226112</v>
      </c>
      <c r="E52" s="528">
        <v>61000</v>
      </c>
      <c r="F52" s="528">
        <v>0</v>
      </c>
      <c r="G52" s="528">
        <v>0</v>
      </c>
      <c r="H52" s="554">
        <f>I52+R52</f>
        <v>4287112</v>
      </c>
      <c r="I52" s="554">
        <f aca="true" t="shared" si="19" ref="I52:I59">J52+K52+L52+M52+N52+O52+P52+Q52</f>
        <v>4287112</v>
      </c>
      <c r="J52" s="528">
        <v>59000</v>
      </c>
      <c r="K52" s="528">
        <v>0</v>
      </c>
      <c r="L52" s="528">
        <v>0</v>
      </c>
      <c r="M52" s="529">
        <v>4228112</v>
      </c>
      <c r="N52" s="528">
        <v>0</v>
      </c>
      <c r="O52" s="528">
        <v>0</v>
      </c>
      <c r="P52" s="528">
        <v>0</v>
      </c>
      <c r="Q52" s="530">
        <v>0</v>
      </c>
      <c r="R52" s="555">
        <v>0</v>
      </c>
      <c r="S52" s="547">
        <f t="shared" si="13"/>
        <v>4228112</v>
      </c>
      <c r="T52" s="569">
        <f t="shared" si="6"/>
        <v>1.3762178361563682</v>
      </c>
      <c r="U52" s="487">
        <f t="shared" si="7"/>
        <v>0</v>
      </c>
    </row>
    <row r="53" spans="1:21" s="406" customFormat="1" ht="24" customHeight="1">
      <c r="A53" s="491" t="s">
        <v>114</v>
      </c>
      <c r="B53" s="492" t="s">
        <v>475</v>
      </c>
      <c r="C53" s="554">
        <f>D53+E53</f>
        <v>141837422</v>
      </c>
      <c r="D53" s="527">
        <f>104574634+3078596-13954715+727105-13047+2248823</f>
        <v>96661396</v>
      </c>
      <c r="E53" s="528">
        <v>45176026</v>
      </c>
      <c r="F53" s="528">
        <v>1600</v>
      </c>
      <c r="G53" s="528">
        <f>121833+13832882</f>
        <v>13954715</v>
      </c>
      <c r="H53" s="554">
        <f aca="true" t="shared" si="20" ref="H53:H58">I53+R53</f>
        <v>141835822</v>
      </c>
      <c r="I53" s="554">
        <f t="shared" si="19"/>
        <v>69267848</v>
      </c>
      <c r="J53" s="528">
        <f>(950000+15100+180220)+4843700+2450000+3210000+1200+5000+600+60000</f>
        <v>11715820</v>
      </c>
      <c r="K53" s="528">
        <v>0</v>
      </c>
      <c r="L53" s="528">
        <v>0</v>
      </c>
      <c r="M53" s="529">
        <v>57552028</v>
      </c>
      <c r="N53" s="528">
        <v>0</v>
      </c>
      <c r="O53" s="528">
        <v>0</v>
      </c>
      <c r="P53" s="528">
        <v>0</v>
      </c>
      <c r="Q53" s="530">
        <v>0</v>
      </c>
      <c r="R53" s="556">
        <v>72567974</v>
      </c>
      <c r="S53" s="547">
        <f t="shared" si="13"/>
        <v>130120002</v>
      </c>
      <c r="T53" s="569">
        <f t="shared" si="6"/>
        <v>16.913792384599564</v>
      </c>
      <c r="U53" s="487">
        <f t="shared" si="7"/>
        <v>0</v>
      </c>
    </row>
    <row r="54" spans="1:21" s="406" customFormat="1" ht="24" customHeight="1">
      <c r="A54" s="491" t="s">
        <v>115</v>
      </c>
      <c r="B54" s="492" t="s">
        <v>476</v>
      </c>
      <c r="C54" s="554">
        <f aca="true" t="shared" si="21" ref="C54:C59">D54+E54</f>
        <v>40875881</v>
      </c>
      <c r="D54" s="527">
        <f>31271687+5833912</f>
        <v>37105599</v>
      </c>
      <c r="E54" s="528">
        <v>3770282</v>
      </c>
      <c r="F54" s="528">
        <v>0</v>
      </c>
      <c r="G54" s="528">
        <v>0</v>
      </c>
      <c r="H54" s="554">
        <f t="shared" si="20"/>
        <v>40875881</v>
      </c>
      <c r="I54" s="554">
        <f t="shared" si="19"/>
        <v>35801272</v>
      </c>
      <c r="J54" s="528">
        <v>3807000</v>
      </c>
      <c r="K54" s="528">
        <v>20100</v>
      </c>
      <c r="L54" s="528"/>
      <c r="M54" s="529">
        <v>31971947</v>
      </c>
      <c r="N54" s="528">
        <v>0</v>
      </c>
      <c r="O54" s="528">
        <v>2225</v>
      </c>
      <c r="P54" s="528"/>
      <c r="Q54" s="530">
        <v>0</v>
      </c>
      <c r="R54" s="556">
        <v>5074609</v>
      </c>
      <c r="S54" s="547">
        <f t="shared" si="13"/>
        <v>37048781</v>
      </c>
      <c r="T54" s="569">
        <f t="shared" si="6"/>
        <v>10.689843645778843</v>
      </c>
      <c r="U54" s="487">
        <f t="shared" si="7"/>
        <v>0</v>
      </c>
    </row>
    <row r="55" spans="1:21" s="406" customFormat="1" ht="24" customHeight="1">
      <c r="A55" s="491" t="s">
        <v>477</v>
      </c>
      <c r="B55" s="492" t="s">
        <v>478</v>
      </c>
      <c r="C55" s="554">
        <f t="shared" si="21"/>
        <v>14701811</v>
      </c>
      <c r="D55" s="527">
        <v>14660461</v>
      </c>
      <c r="E55" s="528">
        <f>30950+400+10000</f>
        <v>41350</v>
      </c>
      <c r="F55" s="528">
        <v>65750</v>
      </c>
      <c r="G55" s="528">
        <v>0</v>
      </c>
      <c r="H55" s="554">
        <f t="shared" si="20"/>
        <v>14636061</v>
      </c>
      <c r="I55" s="554">
        <f t="shared" si="19"/>
        <v>12906637</v>
      </c>
      <c r="J55" s="528">
        <v>48700</v>
      </c>
      <c r="K55" s="528"/>
      <c r="L55" s="528"/>
      <c r="M55" s="529">
        <v>12857937</v>
      </c>
      <c r="N55" s="528">
        <v>0</v>
      </c>
      <c r="O55" s="528">
        <v>0</v>
      </c>
      <c r="P55" s="528">
        <v>0</v>
      </c>
      <c r="Q55" s="530">
        <v>0</v>
      </c>
      <c r="R55" s="556">
        <v>1729424</v>
      </c>
      <c r="S55" s="547">
        <f t="shared" si="13"/>
        <v>14587361</v>
      </c>
      <c r="T55" s="569">
        <f t="shared" si="6"/>
        <v>0.3773252474676401</v>
      </c>
      <c r="U55" s="487">
        <f t="shared" si="7"/>
        <v>0</v>
      </c>
    </row>
    <row r="56" spans="1:21" s="406" customFormat="1" ht="24" customHeight="1">
      <c r="A56" s="491" t="s">
        <v>479</v>
      </c>
      <c r="B56" s="492" t="s">
        <v>480</v>
      </c>
      <c r="C56" s="554">
        <f t="shared" si="21"/>
        <v>15574305</v>
      </c>
      <c r="D56" s="527">
        <v>15477339</v>
      </c>
      <c r="E56" s="528">
        <v>96966</v>
      </c>
      <c r="F56" s="528">
        <v>0</v>
      </c>
      <c r="G56" s="528">
        <v>0</v>
      </c>
      <c r="H56" s="554">
        <f t="shared" si="20"/>
        <v>15574305</v>
      </c>
      <c r="I56" s="554">
        <f>J56+K56+L56+M56+N56+O56+P56+Q56</f>
        <v>13441022</v>
      </c>
      <c r="J56" s="528">
        <v>34800</v>
      </c>
      <c r="K56" s="528"/>
      <c r="L56" s="528"/>
      <c r="M56" s="529">
        <v>13406222</v>
      </c>
      <c r="N56" s="528">
        <v>0</v>
      </c>
      <c r="O56" s="528">
        <v>0</v>
      </c>
      <c r="P56" s="528">
        <v>0</v>
      </c>
      <c r="Q56" s="530">
        <v>0</v>
      </c>
      <c r="R56" s="556">
        <v>2133283</v>
      </c>
      <c r="S56" s="547">
        <f t="shared" si="13"/>
        <v>15539505</v>
      </c>
      <c r="T56" s="569">
        <f t="shared" si="6"/>
        <v>0.2589088835655503</v>
      </c>
      <c r="U56" s="487">
        <f t="shared" si="7"/>
        <v>0</v>
      </c>
    </row>
    <row r="57" spans="1:21" s="406" customFormat="1" ht="24" customHeight="1">
      <c r="A57" s="491" t="s">
        <v>481</v>
      </c>
      <c r="B57" s="492" t="s">
        <v>482</v>
      </c>
      <c r="C57" s="554">
        <f t="shared" si="21"/>
        <v>13199785</v>
      </c>
      <c r="D57" s="527">
        <v>5672662</v>
      </c>
      <c r="E57" s="528">
        <v>7527123</v>
      </c>
      <c r="F57" s="528">
        <v>0</v>
      </c>
      <c r="G57" s="528">
        <v>0</v>
      </c>
      <c r="H57" s="554">
        <f t="shared" si="20"/>
        <v>13199785</v>
      </c>
      <c r="I57" s="554">
        <f t="shared" si="19"/>
        <v>7072676</v>
      </c>
      <c r="J57" s="528">
        <v>1101100</v>
      </c>
      <c r="K57" s="528">
        <v>200</v>
      </c>
      <c r="L57" s="528"/>
      <c r="M57" s="529">
        <v>5971376</v>
      </c>
      <c r="N57" s="528">
        <v>0</v>
      </c>
      <c r="O57" s="528">
        <v>0</v>
      </c>
      <c r="P57" s="528">
        <v>0</v>
      </c>
      <c r="Q57" s="530">
        <v>0</v>
      </c>
      <c r="R57" s="556">
        <v>6127109</v>
      </c>
      <c r="S57" s="547">
        <f t="shared" si="13"/>
        <v>12098485</v>
      </c>
      <c r="T57" s="569">
        <f t="shared" si="6"/>
        <v>15.571192572655669</v>
      </c>
      <c r="U57" s="487">
        <f t="shared" si="7"/>
        <v>0</v>
      </c>
    </row>
    <row r="58" spans="1:21" s="406" customFormat="1" ht="24" customHeight="1">
      <c r="A58" s="491" t="s">
        <v>483</v>
      </c>
      <c r="B58" s="492" t="s">
        <v>484</v>
      </c>
      <c r="C58" s="554">
        <f t="shared" si="21"/>
        <v>31148188</v>
      </c>
      <c r="D58" s="527">
        <v>28863025</v>
      </c>
      <c r="E58" s="528">
        <v>2285163</v>
      </c>
      <c r="F58" s="528">
        <f>1834843+70645+2230+5200+865+5000+4910</f>
        <v>1923693</v>
      </c>
      <c r="G58" s="528">
        <v>0</v>
      </c>
      <c r="H58" s="554">
        <f t="shared" si="20"/>
        <v>29224495</v>
      </c>
      <c r="I58" s="554">
        <f t="shared" si="19"/>
        <v>27111829</v>
      </c>
      <c r="J58" s="528">
        <v>48000</v>
      </c>
      <c r="K58" s="528"/>
      <c r="L58" s="528"/>
      <c r="M58" s="529">
        <v>27063829</v>
      </c>
      <c r="N58" s="528">
        <v>0</v>
      </c>
      <c r="O58" s="528">
        <v>0</v>
      </c>
      <c r="P58" s="528">
        <v>0</v>
      </c>
      <c r="Q58" s="530">
        <v>0</v>
      </c>
      <c r="R58" s="556">
        <v>2112666</v>
      </c>
      <c r="S58" s="547">
        <f t="shared" si="13"/>
        <v>29176495</v>
      </c>
      <c r="T58" s="569">
        <f t="shared" si="6"/>
        <v>0.17704449227678443</v>
      </c>
      <c r="U58" s="487">
        <f t="shared" si="7"/>
        <v>0</v>
      </c>
    </row>
    <row r="59" spans="1:21" s="406" customFormat="1" ht="24" customHeight="1">
      <c r="A59" s="491" t="s">
        <v>485</v>
      </c>
      <c r="B59" s="492" t="s">
        <v>486</v>
      </c>
      <c r="C59" s="554">
        <f t="shared" si="21"/>
        <v>18647</v>
      </c>
      <c r="D59" s="527">
        <v>13047</v>
      </c>
      <c r="E59" s="528">
        <v>5600</v>
      </c>
      <c r="F59" s="528">
        <v>0</v>
      </c>
      <c r="G59" s="528">
        <v>0</v>
      </c>
      <c r="H59" s="554">
        <f>I59+R59</f>
        <v>18647</v>
      </c>
      <c r="I59" s="554">
        <f t="shared" si="19"/>
        <v>18647</v>
      </c>
      <c r="J59" s="528">
        <v>5500</v>
      </c>
      <c r="K59" s="528">
        <v>0</v>
      </c>
      <c r="L59" s="528">
        <v>0</v>
      </c>
      <c r="M59" s="528">
        <v>13147</v>
      </c>
      <c r="N59" s="528">
        <v>0</v>
      </c>
      <c r="O59" s="528">
        <v>0</v>
      </c>
      <c r="P59" s="528">
        <v>0</v>
      </c>
      <c r="Q59" s="530">
        <v>0</v>
      </c>
      <c r="R59" s="557">
        <v>0</v>
      </c>
      <c r="S59" s="547">
        <f t="shared" si="13"/>
        <v>13147</v>
      </c>
      <c r="T59" s="569">
        <f t="shared" si="6"/>
        <v>29.49536118410468</v>
      </c>
      <c r="U59" s="487">
        <f t="shared" si="7"/>
        <v>0</v>
      </c>
    </row>
    <row r="60" spans="1:21" s="406" customFormat="1" ht="24" customHeight="1">
      <c r="A60" s="403">
        <v>6</v>
      </c>
      <c r="B60" s="404" t="s">
        <v>487</v>
      </c>
      <c r="C60" s="546">
        <f>C61+C62+C63+C64+C65</f>
        <v>660645410</v>
      </c>
      <c r="D60" s="546">
        <f aca="true" t="shared" si="22" ref="D60:S60">D61+D62+D63+D64+D65</f>
        <v>563037973</v>
      </c>
      <c r="E60" s="546">
        <f t="shared" si="22"/>
        <v>97607437</v>
      </c>
      <c r="F60" s="546">
        <f t="shared" si="22"/>
        <v>7857775</v>
      </c>
      <c r="G60" s="546">
        <f t="shared" si="22"/>
        <v>0</v>
      </c>
      <c r="H60" s="546">
        <f t="shared" si="22"/>
        <v>652787635</v>
      </c>
      <c r="I60" s="546">
        <f t="shared" si="22"/>
        <v>580243579</v>
      </c>
      <c r="J60" s="546">
        <f t="shared" si="22"/>
        <v>1118173</v>
      </c>
      <c r="K60" s="546">
        <f t="shared" si="22"/>
        <v>41952360</v>
      </c>
      <c r="L60" s="546">
        <f t="shared" si="22"/>
        <v>0</v>
      </c>
      <c r="M60" s="546">
        <f t="shared" si="22"/>
        <v>535521201</v>
      </c>
      <c r="N60" s="546">
        <f t="shared" si="22"/>
        <v>1651845</v>
      </c>
      <c r="O60" s="546">
        <f t="shared" si="22"/>
        <v>0</v>
      </c>
      <c r="P60" s="546">
        <f t="shared" si="22"/>
        <v>0</v>
      </c>
      <c r="Q60" s="546">
        <f t="shared" si="22"/>
        <v>0</v>
      </c>
      <c r="R60" s="546">
        <f t="shared" si="22"/>
        <v>72544056</v>
      </c>
      <c r="S60" s="546">
        <f t="shared" si="22"/>
        <v>609717102</v>
      </c>
      <c r="T60" s="570">
        <f t="shared" si="6"/>
        <v>7.422836642885108</v>
      </c>
      <c r="U60" s="405">
        <f aca="true" t="shared" si="23" ref="U60:U65">C60-F60-H60</f>
        <v>0</v>
      </c>
    </row>
    <row r="61" spans="1:21" s="488" customFormat="1" ht="24" customHeight="1">
      <c r="A61" s="486" t="s">
        <v>585</v>
      </c>
      <c r="B61" s="486" t="s">
        <v>488</v>
      </c>
      <c r="C61" s="547">
        <f aca="true" t="shared" si="24" ref="C61:C66">D61+E61</f>
        <v>560681250</v>
      </c>
      <c r="D61" s="520">
        <v>555214493</v>
      </c>
      <c r="E61" s="520">
        <v>5466757</v>
      </c>
      <c r="F61" s="520">
        <v>10719</v>
      </c>
      <c r="G61" s="520"/>
      <c r="H61" s="547">
        <f>I61+R61</f>
        <v>560670531</v>
      </c>
      <c r="I61" s="547">
        <f>J61+K61+L61+M61+N61+O61+P61+Q61</f>
        <v>560238593</v>
      </c>
      <c r="J61" s="520">
        <v>816771</v>
      </c>
      <c r="K61" s="520">
        <v>37510896</v>
      </c>
      <c r="L61" s="522"/>
      <c r="M61" s="522">
        <v>521910926</v>
      </c>
      <c r="N61" s="531"/>
      <c r="O61" s="531"/>
      <c r="P61" s="531"/>
      <c r="Q61" s="531"/>
      <c r="R61" s="558">
        <v>431938</v>
      </c>
      <c r="S61" s="547">
        <f t="shared" si="13"/>
        <v>522342864</v>
      </c>
      <c r="T61" s="569">
        <f t="shared" si="6"/>
        <v>6.841311448174367</v>
      </c>
      <c r="U61" s="487">
        <f t="shared" si="23"/>
        <v>0</v>
      </c>
    </row>
    <row r="62" spans="1:21" s="488" customFormat="1" ht="24" customHeight="1">
      <c r="A62" s="486" t="s">
        <v>586</v>
      </c>
      <c r="B62" s="486" t="s">
        <v>489</v>
      </c>
      <c r="C62" s="547">
        <f t="shared" si="24"/>
        <v>8120496</v>
      </c>
      <c r="D62" s="520">
        <v>2545110</v>
      </c>
      <c r="E62" s="520">
        <v>5575386</v>
      </c>
      <c r="F62" s="520">
        <v>3811137</v>
      </c>
      <c r="G62" s="520"/>
      <c r="H62" s="547">
        <f>I62+R62</f>
        <v>4309359</v>
      </c>
      <c r="I62" s="547">
        <f>J62+K62+L62+M62+N62+O62+P62+Q62</f>
        <v>3261066</v>
      </c>
      <c r="J62" s="520">
        <v>109830</v>
      </c>
      <c r="K62" s="520">
        <v>142786</v>
      </c>
      <c r="L62" s="522"/>
      <c r="M62" s="522">
        <v>1704958</v>
      </c>
      <c r="N62" s="531">
        <v>1303492</v>
      </c>
      <c r="O62" s="531"/>
      <c r="P62" s="531"/>
      <c r="Q62" s="531"/>
      <c r="R62" s="558">
        <v>1048293</v>
      </c>
      <c r="S62" s="547">
        <f t="shared" si="13"/>
        <v>4056743</v>
      </c>
      <c r="T62" s="569">
        <f t="shared" si="6"/>
        <v>7.746424022083577</v>
      </c>
      <c r="U62" s="487">
        <f t="shared" si="23"/>
        <v>0</v>
      </c>
    </row>
    <row r="63" spans="1:21" s="488" customFormat="1" ht="24" customHeight="1">
      <c r="A63" s="486" t="s">
        <v>587</v>
      </c>
      <c r="B63" s="486" t="s">
        <v>490</v>
      </c>
      <c r="C63" s="547">
        <f t="shared" si="24"/>
        <v>86498728</v>
      </c>
      <c r="D63" s="520">
        <v>1651980</v>
      </c>
      <c r="E63" s="520">
        <v>84846748</v>
      </c>
      <c r="F63" s="520">
        <v>4035719</v>
      </c>
      <c r="G63" s="520"/>
      <c r="H63" s="547">
        <f>I63+R63</f>
        <v>82463009</v>
      </c>
      <c r="I63" s="547">
        <f>J63+K63+L63+M63+N63+O63+P63+Q63</f>
        <v>13423870</v>
      </c>
      <c r="J63" s="520">
        <v>166214</v>
      </c>
      <c r="K63" s="520">
        <v>2848232</v>
      </c>
      <c r="L63" s="522"/>
      <c r="M63" s="522">
        <v>10281473</v>
      </c>
      <c r="N63" s="531">
        <v>127951</v>
      </c>
      <c r="O63" s="531"/>
      <c r="P63" s="531"/>
      <c r="Q63" s="531"/>
      <c r="R63" s="558">
        <v>69039139</v>
      </c>
      <c r="S63" s="547">
        <f t="shared" si="13"/>
        <v>79448563</v>
      </c>
      <c r="T63" s="569">
        <f t="shared" si="6"/>
        <v>22.455864069005436</v>
      </c>
      <c r="U63" s="487">
        <f t="shared" si="23"/>
        <v>0</v>
      </c>
    </row>
    <row r="64" spans="1:21" s="488" customFormat="1" ht="24" customHeight="1">
      <c r="A64" s="486" t="s">
        <v>588</v>
      </c>
      <c r="B64" s="486" t="s">
        <v>610</v>
      </c>
      <c r="C64" s="547">
        <f t="shared" si="24"/>
        <v>4167105</v>
      </c>
      <c r="D64" s="520">
        <v>2480619</v>
      </c>
      <c r="E64" s="520">
        <v>1686486</v>
      </c>
      <c r="F64" s="520">
        <v>200</v>
      </c>
      <c r="G64" s="520"/>
      <c r="H64" s="547">
        <f>I64+R64</f>
        <v>4166905</v>
      </c>
      <c r="I64" s="547">
        <f>J64+K64+L64+M64+N64+O64+P64+Q64</f>
        <v>2805713</v>
      </c>
      <c r="J64" s="520">
        <v>24958</v>
      </c>
      <c r="K64" s="520">
        <v>1450446</v>
      </c>
      <c r="L64" s="522"/>
      <c r="M64" s="522">
        <v>1280309</v>
      </c>
      <c r="N64" s="531">
        <v>50000</v>
      </c>
      <c r="O64" s="531"/>
      <c r="P64" s="531"/>
      <c r="Q64" s="531"/>
      <c r="R64" s="558">
        <v>1361192</v>
      </c>
      <c r="S64" s="547">
        <f t="shared" si="13"/>
        <v>2691501</v>
      </c>
      <c r="T64" s="569">
        <f t="shared" si="6"/>
        <v>52.58570637837868</v>
      </c>
      <c r="U64" s="487">
        <f t="shared" si="23"/>
        <v>0</v>
      </c>
    </row>
    <row r="65" spans="1:21" s="488" customFormat="1" ht="24" customHeight="1">
      <c r="A65" s="486" t="s">
        <v>611</v>
      </c>
      <c r="B65" s="486" t="s">
        <v>609</v>
      </c>
      <c r="C65" s="547">
        <f t="shared" si="24"/>
        <v>1177831</v>
      </c>
      <c r="D65" s="520">
        <v>1145771</v>
      </c>
      <c r="E65" s="520">
        <v>32060</v>
      </c>
      <c r="F65" s="520"/>
      <c r="G65" s="520"/>
      <c r="H65" s="547">
        <f>I65+R65</f>
        <v>1177831</v>
      </c>
      <c r="I65" s="547">
        <f>J65+K65+L65+M65+N65+O65+P65+Q65</f>
        <v>514337</v>
      </c>
      <c r="J65" s="520">
        <v>400</v>
      </c>
      <c r="K65" s="520"/>
      <c r="L65" s="522"/>
      <c r="M65" s="522">
        <v>343535</v>
      </c>
      <c r="N65" s="531">
        <v>170402</v>
      </c>
      <c r="O65" s="531"/>
      <c r="P65" s="531"/>
      <c r="Q65" s="531"/>
      <c r="R65" s="558">
        <v>663494</v>
      </c>
      <c r="S65" s="547">
        <f t="shared" si="13"/>
        <v>1177431</v>
      </c>
      <c r="T65" s="569">
        <f t="shared" si="6"/>
        <v>0.07777002237832395</v>
      </c>
      <c r="U65" s="487">
        <f t="shared" si="23"/>
        <v>0</v>
      </c>
    </row>
    <row r="66" spans="1:21" s="406" customFormat="1" ht="24" customHeight="1">
      <c r="A66" s="421">
        <v>7</v>
      </c>
      <c r="B66" s="421" t="s">
        <v>571</v>
      </c>
      <c r="C66" s="546">
        <f t="shared" si="24"/>
        <v>290186604</v>
      </c>
      <c r="D66" s="516">
        <f>SUM(D67:D74)</f>
        <v>179328126</v>
      </c>
      <c r="E66" s="516">
        <f aca="true" t="shared" si="25" ref="E66:R66">SUM(E67:E74)</f>
        <v>110858478</v>
      </c>
      <c r="F66" s="516">
        <f t="shared" si="25"/>
        <v>18718553</v>
      </c>
      <c r="G66" s="516">
        <f t="shared" si="25"/>
        <v>0</v>
      </c>
      <c r="H66" s="532">
        <f t="shared" si="25"/>
        <v>271468051</v>
      </c>
      <c r="I66" s="532">
        <f t="shared" si="25"/>
        <v>248533825</v>
      </c>
      <c r="J66" s="516">
        <f t="shared" si="25"/>
        <v>22320054</v>
      </c>
      <c r="K66" s="516">
        <f t="shared" si="25"/>
        <v>3605761</v>
      </c>
      <c r="L66" s="516">
        <f t="shared" si="25"/>
        <v>0</v>
      </c>
      <c r="M66" s="516">
        <f t="shared" si="25"/>
        <v>216120587</v>
      </c>
      <c r="N66" s="516">
        <f t="shared" si="25"/>
        <v>0</v>
      </c>
      <c r="O66" s="516">
        <f t="shared" si="25"/>
        <v>0</v>
      </c>
      <c r="P66" s="516">
        <f t="shared" si="25"/>
        <v>0</v>
      </c>
      <c r="Q66" s="516">
        <f t="shared" si="25"/>
        <v>6487423</v>
      </c>
      <c r="R66" s="532">
        <f t="shared" si="25"/>
        <v>22934226</v>
      </c>
      <c r="S66" s="546">
        <f t="shared" si="13"/>
        <v>245542236</v>
      </c>
      <c r="T66" s="570">
        <f t="shared" si="6"/>
        <v>10.431503639393954</v>
      </c>
      <c r="U66" s="405">
        <f t="shared" si="7"/>
        <v>0</v>
      </c>
    </row>
    <row r="67" spans="1:21" s="406" customFormat="1" ht="24" customHeight="1">
      <c r="A67" s="491" t="s">
        <v>589</v>
      </c>
      <c r="B67" s="491" t="s">
        <v>492</v>
      </c>
      <c r="C67" s="547">
        <f aca="true" t="shared" si="26" ref="C67:C74">D67+E67</f>
        <v>21340996</v>
      </c>
      <c r="D67" s="520">
        <v>8575</v>
      </c>
      <c r="E67" s="520">
        <v>21332421</v>
      </c>
      <c r="F67" s="520"/>
      <c r="G67" s="520"/>
      <c r="H67" s="547">
        <f aca="true" t="shared" si="27" ref="H67:H74">I67+R67</f>
        <v>21340996</v>
      </c>
      <c r="I67" s="547">
        <f aca="true" t="shared" si="28" ref="I67:I74">SUM(J67:Q67)</f>
        <v>21340996</v>
      </c>
      <c r="J67" s="520">
        <v>1226127</v>
      </c>
      <c r="K67" s="520">
        <v>2045323</v>
      </c>
      <c r="L67" s="520"/>
      <c r="M67" s="520">
        <v>18069546</v>
      </c>
      <c r="N67" s="520"/>
      <c r="O67" s="520"/>
      <c r="P67" s="520"/>
      <c r="Q67" s="522"/>
      <c r="R67" s="552"/>
      <c r="S67" s="547">
        <f t="shared" si="13"/>
        <v>18069546</v>
      </c>
      <c r="T67" s="569">
        <f t="shared" si="6"/>
        <v>15.329415740483714</v>
      </c>
      <c r="U67" s="487">
        <f t="shared" si="7"/>
        <v>0</v>
      </c>
    </row>
    <row r="68" spans="1:21" s="406" customFormat="1" ht="24" customHeight="1">
      <c r="A68" s="491" t="s">
        <v>590</v>
      </c>
      <c r="B68" s="491" t="s">
        <v>493</v>
      </c>
      <c r="C68" s="547">
        <f t="shared" si="26"/>
        <v>31497520</v>
      </c>
      <c r="D68" s="520">
        <v>24506077</v>
      </c>
      <c r="E68" s="520">
        <v>6991443</v>
      </c>
      <c r="F68" s="520">
        <v>11700</v>
      </c>
      <c r="G68" s="520"/>
      <c r="H68" s="547">
        <f t="shared" si="27"/>
        <v>31485820</v>
      </c>
      <c r="I68" s="547">
        <f t="shared" si="28"/>
        <v>30479616</v>
      </c>
      <c r="J68" s="520">
        <v>161230</v>
      </c>
      <c r="K68" s="520">
        <v>118175</v>
      </c>
      <c r="L68" s="520"/>
      <c r="M68" s="520">
        <v>30200211</v>
      </c>
      <c r="N68" s="520"/>
      <c r="O68" s="520"/>
      <c r="P68" s="520"/>
      <c r="Q68" s="522">
        <v>0</v>
      </c>
      <c r="R68" s="552">
        <v>1006204</v>
      </c>
      <c r="S68" s="547">
        <f t="shared" si="13"/>
        <v>31206415</v>
      </c>
      <c r="T68" s="569">
        <f t="shared" si="6"/>
        <v>0.9166946197747373</v>
      </c>
      <c r="U68" s="487">
        <f t="shared" si="7"/>
        <v>0</v>
      </c>
    </row>
    <row r="69" spans="1:21" s="406" customFormat="1" ht="24" customHeight="1">
      <c r="A69" s="491" t="s">
        <v>591</v>
      </c>
      <c r="B69" s="491" t="s">
        <v>494</v>
      </c>
      <c r="C69" s="547">
        <f t="shared" si="26"/>
        <v>44760499</v>
      </c>
      <c r="D69" s="520">
        <v>20624122</v>
      </c>
      <c r="E69" s="520">
        <v>24136377</v>
      </c>
      <c r="F69" s="520"/>
      <c r="G69" s="520"/>
      <c r="H69" s="547">
        <f t="shared" si="27"/>
        <v>44760499</v>
      </c>
      <c r="I69" s="547">
        <f t="shared" si="28"/>
        <v>40854348</v>
      </c>
      <c r="J69" s="520">
        <v>84230</v>
      </c>
      <c r="K69" s="520"/>
      <c r="L69" s="520"/>
      <c r="M69" s="520">
        <v>39581855</v>
      </c>
      <c r="N69" s="520"/>
      <c r="O69" s="520"/>
      <c r="P69" s="520"/>
      <c r="Q69" s="522">
        <v>1188263</v>
      </c>
      <c r="R69" s="552">
        <v>3906151</v>
      </c>
      <c r="S69" s="547">
        <f t="shared" si="13"/>
        <v>44676269</v>
      </c>
      <c r="T69" s="569">
        <f t="shared" si="6"/>
        <v>0.20617144593765147</v>
      </c>
      <c r="U69" s="487">
        <f t="shared" si="7"/>
        <v>0</v>
      </c>
    </row>
    <row r="70" spans="1:21" s="406" customFormat="1" ht="24" customHeight="1">
      <c r="A70" s="491" t="s">
        <v>592</v>
      </c>
      <c r="B70" s="491" t="s">
        <v>495</v>
      </c>
      <c r="C70" s="547">
        <f t="shared" si="26"/>
        <v>97077553</v>
      </c>
      <c r="D70" s="520">
        <v>96756547</v>
      </c>
      <c r="E70" s="520">
        <v>321006</v>
      </c>
      <c r="F70" s="520"/>
      <c r="G70" s="520"/>
      <c r="H70" s="547">
        <f t="shared" si="27"/>
        <v>97077553</v>
      </c>
      <c r="I70" s="547">
        <f t="shared" si="28"/>
        <v>97077553</v>
      </c>
      <c r="J70" s="520">
        <v>15532808</v>
      </c>
      <c r="K70" s="520"/>
      <c r="L70" s="520"/>
      <c r="M70" s="520">
        <v>81544745</v>
      </c>
      <c r="N70" s="520"/>
      <c r="O70" s="520"/>
      <c r="P70" s="520"/>
      <c r="Q70" s="522">
        <v>0</v>
      </c>
      <c r="R70" s="552">
        <v>0</v>
      </c>
      <c r="S70" s="547">
        <f t="shared" si="13"/>
        <v>81544745</v>
      </c>
      <c r="T70" s="569">
        <f t="shared" si="6"/>
        <v>16.000411547250266</v>
      </c>
      <c r="U70" s="487">
        <f t="shared" si="7"/>
        <v>0</v>
      </c>
    </row>
    <row r="71" spans="1:21" s="406" customFormat="1" ht="24" customHeight="1">
      <c r="A71" s="491" t="s">
        <v>593</v>
      </c>
      <c r="B71" s="491" t="s">
        <v>496</v>
      </c>
      <c r="C71" s="547">
        <f t="shared" si="26"/>
        <v>30836422</v>
      </c>
      <c r="D71" s="520">
        <v>4681932</v>
      </c>
      <c r="E71" s="520">
        <v>26154490</v>
      </c>
      <c r="F71" s="520">
        <v>16022056</v>
      </c>
      <c r="G71" s="520"/>
      <c r="H71" s="547">
        <f t="shared" si="27"/>
        <v>14814366</v>
      </c>
      <c r="I71" s="547">
        <f t="shared" si="28"/>
        <v>2921278</v>
      </c>
      <c r="J71" s="520">
        <v>514474</v>
      </c>
      <c r="K71" s="520">
        <v>46850</v>
      </c>
      <c r="L71" s="520"/>
      <c r="M71" s="520">
        <v>333693</v>
      </c>
      <c r="N71" s="520"/>
      <c r="O71" s="520"/>
      <c r="P71" s="520"/>
      <c r="Q71" s="522">
        <v>2026261</v>
      </c>
      <c r="R71" s="552">
        <v>11893088</v>
      </c>
      <c r="S71" s="547">
        <f t="shared" si="13"/>
        <v>14253042</v>
      </c>
      <c r="T71" s="569">
        <f t="shared" si="6"/>
        <v>19.21501479831772</v>
      </c>
      <c r="U71" s="487">
        <f t="shared" si="7"/>
        <v>0</v>
      </c>
    </row>
    <row r="72" spans="1:21" s="406" customFormat="1" ht="24" customHeight="1">
      <c r="A72" s="491" t="s">
        <v>594</v>
      </c>
      <c r="B72" s="491" t="s">
        <v>497</v>
      </c>
      <c r="C72" s="547">
        <f t="shared" si="26"/>
        <v>10161311</v>
      </c>
      <c r="D72" s="520">
        <v>3965961</v>
      </c>
      <c r="E72" s="520">
        <v>6195350</v>
      </c>
      <c r="F72" s="520">
        <v>20450</v>
      </c>
      <c r="G72" s="520"/>
      <c r="H72" s="547">
        <f t="shared" si="27"/>
        <v>10140861</v>
      </c>
      <c r="I72" s="547">
        <f t="shared" si="28"/>
        <v>7614511</v>
      </c>
      <c r="J72" s="520">
        <v>1233648</v>
      </c>
      <c r="K72" s="520">
        <v>3281</v>
      </c>
      <c r="L72" s="520"/>
      <c r="M72" s="520">
        <v>6377532</v>
      </c>
      <c r="N72" s="520"/>
      <c r="O72" s="520"/>
      <c r="P72" s="520"/>
      <c r="Q72" s="522">
        <v>50</v>
      </c>
      <c r="R72" s="552">
        <v>2526350</v>
      </c>
      <c r="S72" s="547">
        <f t="shared" si="13"/>
        <v>8903932</v>
      </c>
      <c r="T72" s="569">
        <f t="shared" si="6"/>
        <v>16.244365527871718</v>
      </c>
      <c r="U72" s="487">
        <f t="shared" si="7"/>
        <v>0</v>
      </c>
    </row>
    <row r="73" spans="1:21" s="406" customFormat="1" ht="24" customHeight="1">
      <c r="A73" s="491" t="s">
        <v>595</v>
      </c>
      <c r="B73" s="491" t="s">
        <v>498</v>
      </c>
      <c r="C73" s="547">
        <f t="shared" si="26"/>
        <v>35333095</v>
      </c>
      <c r="D73" s="520">
        <v>17325877</v>
      </c>
      <c r="E73" s="520">
        <v>18007218</v>
      </c>
      <c r="F73" s="520">
        <v>1547747</v>
      </c>
      <c r="G73" s="520"/>
      <c r="H73" s="547">
        <f t="shared" si="27"/>
        <v>33785348</v>
      </c>
      <c r="I73" s="547">
        <f t="shared" si="28"/>
        <v>32613160</v>
      </c>
      <c r="J73" s="520">
        <v>3541503</v>
      </c>
      <c r="K73" s="520">
        <v>1392132</v>
      </c>
      <c r="L73" s="520"/>
      <c r="M73" s="520">
        <v>24471900</v>
      </c>
      <c r="N73" s="520"/>
      <c r="O73" s="520"/>
      <c r="P73" s="520"/>
      <c r="Q73" s="522">
        <v>3207625</v>
      </c>
      <c r="R73" s="552">
        <v>1172188</v>
      </c>
      <c r="S73" s="547">
        <f t="shared" si="13"/>
        <v>28851713</v>
      </c>
      <c r="T73" s="569">
        <f t="shared" si="6"/>
        <v>15.127742911143846</v>
      </c>
      <c r="U73" s="487">
        <f t="shared" si="7"/>
        <v>0</v>
      </c>
    </row>
    <row r="74" spans="1:21" s="406" customFormat="1" ht="24" customHeight="1">
      <c r="A74" s="491" t="s">
        <v>596</v>
      </c>
      <c r="B74" s="491" t="s">
        <v>597</v>
      </c>
      <c r="C74" s="547">
        <f t="shared" si="26"/>
        <v>19179208</v>
      </c>
      <c r="D74" s="520">
        <v>11459035</v>
      </c>
      <c r="E74" s="520">
        <v>7720173</v>
      </c>
      <c r="F74" s="520">
        <v>1116600</v>
      </c>
      <c r="G74" s="520"/>
      <c r="H74" s="547">
        <f t="shared" si="27"/>
        <v>18062608</v>
      </c>
      <c r="I74" s="547">
        <f t="shared" si="28"/>
        <v>15632363</v>
      </c>
      <c r="J74" s="520">
        <v>26034</v>
      </c>
      <c r="K74" s="520"/>
      <c r="L74" s="520"/>
      <c r="M74" s="520">
        <v>15541105</v>
      </c>
      <c r="N74" s="520"/>
      <c r="O74" s="520"/>
      <c r="P74" s="520"/>
      <c r="Q74" s="522">
        <v>65224</v>
      </c>
      <c r="R74" s="552">
        <v>2430245</v>
      </c>
      <c r="S74" s="547">
        <f t="shared" si="13"/>
        <v>18036574</v>
      </c>
      <c r="T74" s="569">
        <f t="shared" si="6"/>
        <v>0.16653912143672714</v>
      </c>
      <c r="U74" s="487">
        <f t="shared" si="7"/>
        <v>0</v>
      </c>
    </row>
    <row r="75" spans="1:21" s="406" customFormat="1" ht="24" customHeight="1">
      <c r="A75" s="403">
        <v>8</v>
      </c>
      <c r="B75" s="404" t="s">
        <v>499</v>
      </c>
      <c r="C75" s="546">
        <f>C76+C77</f>
        <v>45913997</v>
      </c>
      <c r="D75" s="516">
        <f>D76+D77</f>
        <v>18505247</v>
      </c>
      <c r="E75" s="516">
        <f aca="true" t="shared" si="29" ref="E75:R75">E76+E77</f>
        <v>27408750</v>
      </c>
      <c r="F75" s="516">
        <f t="shared" si="29"/>
        <v>5700993</v>
      </c>
      <c r="G75" s="516">
        <f t="shared" si="29"/>
        <v>0</v>
      </c>
      <c r="H75" s="546">
        <f t="shared" si="29"/>
        <v>40213004</v>
      </c>
      <c r="I75" s="546">
        <f t="shared" si="29"/>
        <v>35938548</v>
      </c>
      <c r="J75" s="516">
        <f t="shared" si="29"/>
        <v>1630212</v>
      </c>
      <c r="K75" s="516">
        <f t="shared" si="29"/>
        <v>108938</v>
      </c>
      <c r="L75" s="516">
        <f t="shared" si="29"/>
        <v>0</v>
      </c>
      <c r="M75" s="516">
        <f t="shared" si="29"/>
        <v>34199398</v>
      </c>
      <c r="N75" s="516">
        <f t="shared" si="29"/>
        <v>0</v>
      </c>
      <c r="O75" s="516">
        <f t="shared" si="29"/>
        <v>0</v>
      </c>
      <c r="P75" s="516">
        <f t="shared" si="29"/>
        <v>0</v>
      </c>
      <c r="Q75" s="516">
        <f t="shared" si="29"/>
        <v>0</v>
      </c>
      <c r="R75" s="546">
        <f t="shared" si="29"/>
        <v>4274456</v>
      </c>
      <c r="S75" s="546">
        <f t="shared" si="13"/>
        <v>38473854</v>
      </c>
      <c r="T75" s="570">
        <f t="shared" si="6"/>
        <v>4.839232792599189</v>
      </c>
      <c r="U75" s="405">
        <f t="shared" si="7"/>
        <v>0</v>
      </c>
    </row>
    <row r="76" spans="1:21" s="406" customFormat="1" ht="24" customHeight="1">
      <c r="A76" s="491" t="s">
        <v>500</v>
      </c>
      <c r="B76" s="489" t="s">
        <v>501</v>
      </c>
      <c r="C76" s="547">
        <f>D76+E76</f>
        <v>6468224</v>
      </c>
      <c r="D76" s="520">
        <v>663953</v>
      </c>
      <c r="E76" s="520">
        <v>5804271</v>
      </c>
      <c r="F76" s="520">
        <v>91050</v>
      </c>
      <c r="G76" s="520"/>
      <c r="H76" s="547">
        <f>I76+R76</f>
        <v>6377174</v>
      </c>
      <c r="I76" s="547">
        <f>J76+K76+L76+M76+N76+O76+P76+Q76</f>
        <v>5831749</v>
      </c>
      <c r="J76" s="520">
        <v>538586</v>
      </c>
      <c r="K76" s="520">
        <v>0</v>
      </c>
      <c r="L76" s="520"/>
      <c r="M76" s="520">
        <v>5293163</v>
      </c>
      <c r="N76" s="520"/>
      <c r="O76" s="520"/>
      <c r="P76" s="520"/>
      <c r="Q76" s="522"/>
      <c r="R76" s="559">
        <v>545425</v>
      </c>
      <c r="S76" s="547">
        <f t="shared" si="13"/>
        <v>5838588</v>
      </c>
      <c r="T76" s="569">
        <f t="shared" si="6"/>
        <v>9.23541119482337</v>
      </c>
      <c r="U76" s="487">
        <f t="shared" si="7"/>
        <v>0</v>
      </c>
    </row>
    <row r="77" spans="1:21" s="406" customFormat="1" ht="24" customHeight="1">
      <c r="A77" s="491" t="s">
        <v>503</v>
      </c>
      <c r="B77" s="489" t="s">
        <v>504</v>
      </c>
      <c r="C77" s="547">
        <f>D77+E77</f>
        <v>39445773</v>
      </c>
      <c r="D77" s="520">
        <v>17841294</v>
      </c>
      <c r="E77" s="520">
        <v>21604479</v>
      </c>
      <c r="F77" s="520">
        <v>5609943</v>
      </c>
      <c r="G77" s="520"/>
      <c r="H77" s="547">
        <f>I77+R77</f>
        <v>33835830</v>
      </c>
      <c r="I77" s="547">
        <f>J77+K77+L77+M77+N77+O77+P77+Q77</f>
        <v>30106799</v>
      </c>
      <c r="J77" s="520">
        <v>1091626</v>
      </c>
      <c r="K77" s="520">
        <v>108938</v>
      </c>
      <c r="L77" s="520"/>
      <c r="M77" s="520">
        <v>28906235</v>
      </c>
      <c r="N77" s="520"/>
      <c r="O77" s="520"/>
      <c r="P77" s="520"/>
      <c r="Q77" s="522"/>
      <c r="R77" s="559">
        <v>3729031</v>
      </c>
      <c r="S77" s="547">
        <f t="shared" si="13"/>
        <v>32635266</v>
      </c>
      <c r="T77" s="569">
        <f t="shared" si="6"/>
        <v>3.9876839779612574</v>
      </c>
      <c r="U77" s="487">
        <f t="shared" si="7"/>
        <v>0</v>
      </c>
    </row>
    <row r="78" spans="1:21" s="406" customFormat="1" ht="24" customHeight="1">
      <c r="A78" s="403">
        <v>9</v>
      </c>
      <c r="B78" s="404" t="s">
        <v>506</v>
      </c>
      <c r="C78" s="560">
        <f>C79+C80+C81+C82</f>
        <v>9930649</v>
      </c>
      <c r="D78" s="533">
        <f aca="true" t="shared" si="30" ref="D78:R78">D79+D80+D81+D82</f>
        <v>4812388</v>
      </c>
      <c r="E78" s="533">
        <f t="shared" si="30"/>
        <v>5118261</v>
      </c>
      <c r="F78" s="533">
        <f t="shared" si="30"/>
        <v>219625</v>
      </c>
      <c r="G78" s="533">
        <f t="shared" si="30"/>
        <v>0</v>
      </c>
      <c r="H78" s="560">
        <f t="shared" si="30"/>
        <v>9711024</v>
      </c>
      <c r="I78" s="560">
        <f t="shared" si="30"/>
        <v>8713040</v>
      </c>
      <c r="J78" s="533">
        <f t="shared" si="30"/>
        <v>648917</v>
      </c>
      <c r="K78" s="533">
        <f t="shared" si="30"/>
        <v>40286</v>
      </c>
      <c r="L78" s="533">
        <f t="shared" si="30"/>
        <v>0</v>
      </c>
      <c r="M78" s="533">
        <f t="shared" si="30"/>
        <v>7684171</v>
      </c>
      <c r="N78" s="533">
        <f t="shared" si="30"/>
        <v>339666</v>
      </c>
      <c r="O78" s="533">
        <f t="shared" si="30"/>
        <v>0</v>
      </c>
      <c r="P78" s="533">
        <f t="shared" si="30"/>
        <v>0</v>
      </c>
      <c r="Q78" s="533">
        <f t="shared" si="30"/>
        <v>0</v>
      </c>
      <c r="R78" s="560">
        <f t="shared" si="30"/>
        <v>997984</v>
      </c>
      <c r="S78" s="546">
        <f t="shared" si="13"/>
        <v>9021821</v>
      </c>
      <c r="T78" s="570">
        <f aca="true" t="shared" si="31" ref="T78:T117">(J78+K78+L78)/I78*100</f>
        <v>7.910017628749552</v>
      </c>
      <c r="U78" s="405">
        <f aca="true" t="shared" si="32" ref="U78:U117">C78-F78-H78</f>
        <v>0</v>
      </c>
    </row>
    <row r="79" spans="1:21" s="406" customFormat="1" ht="24" customHeight="1">
      <c r="A79" s="491" t="s">
        <v>507</v>
      </c>
      <c r="B79" s="491" t="s">
        <v>508</v>
      </c>
      <c r="C79" s="548">
        <f>SUM(D79:E79)</f>
        <v>3022717</v>
      </c>
      <c r="D79" s="534">
        <v>1870032</v>
      </c>
      <c r="E79" s="534">
        <v>1152685</v>
      </c>
      <c r="F79" s="534">
        <v>3600</v>
      </c>
      <c r="G79" s="534">
        <v>0</v>
      </c>
      <c r="H79" s="548">
        <f aca="true" t="shared" si="33" ref="H79:H84">I79+R79</f>
        <v>3019117</v>
      </c>
      <c r="I79" s="548">
        <f>SUM(J79:Q79)</f>
        <v>2625416</v>
      </c>
      <c r="J79" s="534">
        <v>91707</v>
      </c>
      <c r="K79" s="534">
        <v>40286</v>
      </c>
      <c r="L79" s="534">
        <v>0</v>
      </c>
      <c r="M79" s="534">
        <v>2460923</v>
      </c>
      <c r="N79" s="534">
        <v>32500</v>
      </c>
      <c r="O79" s="534">
        <v>0</v>
      </c>
      <c r="P79" s="534">
        <v>0</v>
      </c>
      <c r="Q79" s="535">
        <v>0</v>
      </c>
      <c r="R79" s="552">
        <v>393701</v>
      </c>
      <c r="S79" s="547">
        <f t="shared" si="13"/>
        <v>2887124</v>
      </c>
      <c r="T79" s="569">
        <f t="shared" si="31"/>
        <v>5.027508021585912</v>
      </c>
      <c r="U79" s="487">
        <f t="shared" si="32"/>
        <v>0</v>
      </c>
    </row>
    <row r="80" spans="1:21" s="406" customFormat="1" ht="24" customHeight="1">
      <c r="A80" s="491" t="s">
        <v>509</v>
      </c>
      <c r="B80" s="491" t="s">
        <v>510</v>
      </c>
      <c r="C80" s="548">
        <f>SUM(D80:E80)</f>
        <v>2872809</v>
      </c>
      <c r="D80" s="534">
        <v>2210537</v>
      </c>
      <c r="E80" s="534">
        <v>662272</v>
      </c>
      <c r="F80" s="534">
        <v>200</v>
      </c>
      <c r="G80" s="534">
        <v>0</v>
      </c>
      <c r="H80" s="548">
        <f t="shared" si="33"/>
        <v>2872609</v>
      </c>
      <c r="I80" s="548">
        <f>SUM(J80:Q80)</f>
        <v>2664359</v>
      </c>
      <c r="J80" s="534">
        <v>476804</v>
      </c>
      <c r="K80" s="534">
        <v>0</v>
      </c>
      <c r="L80" s="534">
        <v>0</v>
      </c>
      <c r="M80" s="534">
        <f>C80-J80-K80-L80-N80-O80-P80-Q80-R80-F80-G80</f>
        <v>1908144</v>
      </c>
      <c r="N80" s="534">
        <v>279411</v>
      </c>
      <c r="O80" s="534">
        <v>0</v>
      </c>
      <c r="P80" s="534">
        <v>0</v>
      </c>
      <c r="Q80" s="535">
        <v>0</v>
      </c>
      <c r="R80" s="552">
        <v>208250</v>
      </c>
      <c r="S80" s="547">
        <f t="shared" si="13"/>
        <v>2395805</v>
      </c>
      <c r="T80" s="569">
        <f t="shared" si="31"/>
        <v>17.89563643638113</v>
      </c>
      <c r="U80" s="487">
        <f t="shared" si="32"/>
        <v>0</v>
      </c>
    </row>
    <row r="81" spans="1:21" s="406" customFormat="1" ht="24" customHeight="1">
      <c r="A81" s="491" t="s">
        <v>511</v>
      </c>
      <c r="B81" s="491" t="s">
        <v>512</v>
      </c>
      <c r="C81" s="548">
        <f>SUM(D81:E81)</f>
        <v>2866037</v>
      </c>
      <c r="D81" s="534">
        <v>281495</v>
      </c>
      <c r="E81" s="534">
        <v>2584542</v>
      </c>
      <c r="F81" s="534">
        <v>38825</v>
      </c>
      <c r="G81" s="534">
        <v>0</v>
      </c>
      <c r="H81" s="548">
        <f t="shared" si="33"/>
        <v>2827212</v>
      </c>
      <c r="I81" s="548">
        <f>SUM(J81:Q81)</f>
        <v>2638690</v>
      </c>
      <c r="J81" s="534">
        <v>65668</v>
      </c>
      <c r="K81" s="534">
        <v>0</v>
      </c>
      <c r="L81" s="534">
        <v>0</v>
      </c>
      <c r="M81" s="534">
        <v>2545267</v>
      </c>
      <c r="N81" s="534">
        <v>27755</v>
      </c>
      <c r="O81" s="534">
        <v>0</v>
      </c>
      <c r="P81" s="534">
        <v>0</v>
      </c>
      <c r="Q81" s="535">
        <v>0</v>
      </c>
      <c r="R81" s="552">
        <v>188522</v>
      </c>
      <c r="S81" s="547">
        <f t="shared" si="13"/>
        <v>2761544</v>
      </c>
      <c r="T81" s="569">
        <f t="shared" si="31"/>
        <v>2.4886591452576847</v>
      </c>
      <c r="U81" s="487">
        <f t="shared" si="32"/>
        <v>0</v>
      </c>
    </row>
    <row r="82" spans="1:21" s="406" customFormat="1" ht="24" customHeight="1">
      <c r="A82" s="491" t="s">
        <v>513</v>
      </c>
      <c r="B82" s="491" t="s">
        <v>514</v>
      </c>
      <c r="C82" s="548">
        <f>SUM(D82:E82)</f>
        <v>1169086</v>
      </c>
      <c r="D82" s="534">
        <v>450324</v>
      </c>
      <c r="E82" s="534">
        <v>718762</v>
      </c>
      <c r="F82" s="534">
        <v>177000</v>
      </c>
      <c r="G82" s="534">
        <v>0</v>
      </c>
      <c r="H82" s="548">
        <f t="shared" si="33"/>
        <v>992086</v>
      </c>
      <c r="I82" s="548">
        <f>SUM(J82:Q82)</f>
        <v>784575</v>
      </c>
      <c r="J82" s="534">
        <v>14738</v>
      </c>
      <c r="K82" s="534">
        <v>0</v>
      </c>
      <c r="L82" s="534">
        <v>0</v>
      </c>
      <c r="M82" s="534">
        <v>769837</v>
      </c>
      <c r="N82" s="534">
        <f>0</f>
        <v>0</v>
      </c>
      <c r="O82" s="534">
        <v>0</v>
      </c>
      <c r="P82" s="534">
        <v>0</v>
      </c>
      <c r="Q82" s="535">
        <v>0</v>
      </c>
      <c r="R82" s="552">
        <f>163461+44050</f>
        <v>207511</v>
      </c>
      <c r="S82" s="547">
        <f t="shared" si="13"/>
        <v>977348</v>
      </c>
      <c r="T82" s="569">
        <f t="shared" si="31"/>
        <v>1.8784692349361118</v>
      </c>
      <c r="U82" s="487">
        <f t="shared" si="32"/>
        <v>0</v>
      </c>
    </row>
    <row r="83" spans="1:21" s="406" customFormat="1" ht="24" customHeight="1">
      <c r="A83" s="403">
        <v>10</v>
      </c>
      <c r="B83" s="404" t="s">
        <v>515</v>
      </c>
      <c r="C83" s="560">
        <f aca="true" t="shared" si="34" ref="C83:C92">SUM(D83:E83)</f>
        <v>407221169</v>
      </c>
      <c r="D83" s="536">
        <f>SUM(D84:D92)</f>
        <v>283233192</v>
      </c>
      <c r="E83" s="536">
        <f>SUM(E84:E92)</f>
        <v>123987977</v>
      </c>
      <c r="F83" s="536">
        <f>SUM(F84:F92)</f>
        <v>3798626</v>
      </c>
      <c r="G83" s="536">
        <f>SUM(G84:G92)</f>
        <v>0</v>
      </c>
      <c r="H83" s="560">
        <f t="shared" si="33"/>
        <v>403422543</v>
      </c>
      <c r="I83" s="560">
        <f>J83+K83+L83+M83+N83+O83+P83+Q83</f>
        <v>379084028</v>
      </c>
      <c r="J83" s="536">
        <f aca="true" t="shared" si="35" ref="J83:R83">SUM(J84:J92)</f>
        <v>5762541</v>
      </c>
      <c r="K83" s="536">
        <f t="shared" si="35"/>
        <v>2669423</v>
      </c>
      <c r="L83" s="536">
        <f t="shared" si="35"/>
        <v>0</v>
      </c>
      <c r="M83" s="536">
        <f t="shared" si="35"/>
        <v>366186053</v>
      </c>
      <c r="N83" s="536">
        <f t="shared" si="35"/>
        <v>1896234</v>
      </c>
      <c r="O83" s="536">
        <f t="shared" si="35"/>
        <v>0</v>
      </c>
      <c r="P83" s="536">
        <f t="shared" si="35"/>
        <v>0</v>
      </c>
      <c r="Q83" s="536">
        <f t="shared" si="35"/>
        <v>2569777</v>
      </c>
      <c r="R83" s="536">
        <f t="shared" si="35"/>
        <v>24338515</v>
      </c>
      <c r="S83" s="546">
        <f t="shared" si="13"/>
        <v>394990579</v>
      </c>
      <c r="T83" s="570">
        <f t="shared" si="31"/>
        <v>2.2242994632314077</v>
      </c>
      <c r="U83" s="405">
        <f t="shared" si="32"/>
        <v>0</v>
      </c>
    </row>
    <row r="84" spans="1:21" s="406" customFormat="1" ht="24" customHeight="1">
      <c r="A84" s="491" t="s">
        <v>572</v>
      </c>
      <c r="B84" s="491" t="s">
        <v>516</v>
      </c>
      <c r="C84" s="548">
        <f t="shared" si="34"/>
        <v>681041</v>
      </c>
      <c r="D84" s="537">
        <v>196692</v>
      </c>
      <c r="E84" s="537">
        <v>484349</v>
      </c>
      <c r="F84" s="537">
        <v>106680</v>
      </c>
      <c r="G84" s="537">
        <v>0</v>
      </c>
      <c r="H84" s="548">
        <f t="shared" si="33"/>
        <v>574361</v>
      </c>
      <c r="I84" s="548">
        <f>J84+K84+L84+M84+N84+O84+P84+Q84</f>
        <v>488549</v>
      </c>
      <c r="J84" s="537">
        <v>298811</v>
      </c>
      <c r="K84" s="537">
        <v>0</v>
      </c>
      <c r="L84" s="537">
        <v>0</v>
      </c>
      <c r="M84" s="537">
        <v>189738</v>
      </c>
      <c r="N84" s="537">
        <v>0</v>
      </c>
      <c r="O84" s="537">
        <v>0</v>
      </c>
      <c r="P84" s="537">
        <v>0</v>
      </c>
      <c r="Q84" s="537">
        <v>0</v>
      </c>
      <c r="R84" s="538">
        <v>85812</v>
      </c>
      <c r="S84" s="547">
        <f t="shared" si="13"/>
        <v>275550</v>
      </c>
      <c r="T84" s="569">
        <f t="shared" si="31"/>
        <v>61.16295397186362</v>
      </c>
      <c r="U84" s="487">
        <f>C84-F84-H84</f>
        <v>0</v>
      </c>
    </row>
    <row r="85" spans="1:21" s="406" customFormat="1" ht="24" customHeight="1">
      <c r="A85" s="491" t="s">
        <v>573</v>
      </c>
      <c r="B85" s="491" t="s">
        <v>517</v>
      </c>
      <c r="C85" s="548">
        <f t="shared" si="34"/>
        <v>165772172</v>
      </c>
      <c r="D85" s="537">
        <v>158250868</v>
      </c>
      <c r="E85" s="537">
        <v>7521304</v>
      </c>
      <c r="F85" s="537">
        <v>112193</v>
      </c>
      <c r="G85" s="537">
        <v>0</v>
      </c>
      <c r="H85" s="548">
        <f aca="true" t="shared" si="36" ref="H85:H92">I85+R85</f>
        <v>165659979</v>
      </c>
      <c r="I85" s="548">
        <f aca="true" t="shared" si="37" ref="I85:I92">J85+K85+L85+M85+N85+O85+P85+Q85</f>
        <v>164580939</v>
      </c>
      <c r="J85" s="537">
        <v>2129772</v>
      </c>
      <c r="K85" s="537">
        <v>1493346</v>
      </c>
      <c r="L85" s="537">
        <v>0</v>
      </c>
      <c r="M85" s="537">
        <v>160957821</v>
      </c>
      <c r="N85" s="537">
        <v>0</v>
      </c>
      <c r="O85" s="537">
        <v>0</v>
      </c>
      <c r="P85" s="537">
        <v>0</v>
      </c>
      <c r="Q85" s="537">
        <v>0</v>
      </c>
      <c r="R85" s="538">
        <v>1079040</v>
      </c>
      <c r="S85" s="547">
        <f t="shared" si="13"/>
        <v>162036861</v>
      </c>
      <c r="T85" s="569">
        <f t="shared" si="31"/>
        <v>2.201420177825088</v>
      </c>
      <c r="U85" s="487">
        <f t="shared" si="32"/>
        <v>0</v>
      </c>
    </row>
    <row r="86" spans="1:21" s="406" customFormat="1" ht="24" customHeight="1">
      <c r="A86" s="491" t="s">
        <v>574</v>
      </c>
      <c r="B86" s="491" t="s">
        <v>518</v>
      </c>
      <c r="C86" s="548">
        <f t="shared" si="34"/>
        <v>29265332</v>
      </c>
      <c r="D86" s="537">
        <v>27909637</v>
      </c>
      <c r="E86" s="537">
        <v>1355695</v>
      </c>
      <c r="F86" s="537">
        <v>5200</v>
      </c>
      <c r="G86" s="537">
        <v>0</v>
      </c>
      <c r="H86" s="548">
        <f t="shared" si="36"/>
        <v>29260132</v>
      </c>
      <c r="I86" s="548">
        <f t="shared" si="37"/>
        <v>28995046</v>
      </c>
      <c r="J86" s="537">
        <v>112467</v>
      </c>
      <c r="K86" s="537">
        <v>1167487</v>
      </c>
      <c r="L86" s="537">
        <v>0</v>
      </c>
      <c r="M86" s="537">
        <v>24502669</v>
      </c>
      <c r="N86" s="537">
        <v>1483555</v>
      </c>
      <c r="O86" s="537">
        <v>0</v>
      </c>
      <c r="P86" s="537">
        <v>0</v>
      </c>
      <c r="Q86" s="537">
        <v>1728868</v>
      </c>
      <c r="R86" s="538">
        <v>265086</v>
      </c>
      <c r="S86" s="547">
        <f t="shared" si="13"/>
        <v>27980178</v>
      </c>
      <c r="T86" s="569">
        <f t="shared" si="31"/>
        <v>4.414388582104681</v>
      </c>
      <c r="U86" s="487">
        <f t="shared" si="32"/>
        <v>0</v>
      </c>
    </row>
    <row r="87" spans="1:21" s="406" customFormat="1" ht="24" customHeight="1">
      <c r="A87" s="491" t="s">
        <v>575</v>
      </c>
      <c r="B87" s="491" t="s">
        <v>519</v>
      </c>
      <c r="C87" s="548">
        <f t="shared" si="34"/>
        <v>8662229</v>
      </c>
      <c r="D87" s="537">
        <v>6294205</v>
      </c>
      <c r="E87" s="537">
        <v>2368024</v>
      </c>
      <c r="F87" s="537">
        <v>200</v>
      </c>
      <c r="G87" s="537">
        <v>0</v>
      </c>
      <c r="H87" s="548">
        <f t="shared" si="36"/>
        <v>8662029</v>
      </c>
      <c r="I87" s="548">
        <f t="shared" si="37"/>
        <v>7267171</v>
      </c>
      <c r="J87" s="537">
        <v>103972</v>
      </c>
      <c r="K87" s="537">
        <v>3700</v>
      </c>
      <c r="L87" s="537">
        <v>0</v>
      </c>
      <c r="M87" s="537">
        <v>6357029</v>
      </c>
      <c r="N87" s="537">
        <v>0</v>
      </c>
      <c r="O87" s="537">
        <v>0</v>
      </c>
      <c r="P87" s="537">
        <v>0</v>
      </c>
      <c r="Q87" s="537">
        <v>802470</v>
      </c>
      <c r="R87" s="538">
        <v>1394858</v>
      </c>
      <c r="S87" s="547">
        <f t="shared" si="13"/>
        <v>8554357</v>
      </c>
      <c r="T87" s="569">
        <f t="shared" si="31"/>
        <v>1.4816219406423765</v>
      </c>
      <c r="U87" s="487">
        <f t="shared" si="32"/>
        <v>0</v>
      </c>
    </row>
    <row r="88" spans="1:21" s="406" customFormat="1" ht="24" customHeight="1">
      <c r="A88" s="491" t="s">
        <v>576</v>
      </c>
      <c r="B88" s="491" t="s">
        <v>520</v>
      </c>
      <c r="C88" s="548">
        <f t="shared" si="34"/>
        <v>40189647</v>
      </c>
      <c r="D88" s="537">
        <v>22776917</v>
      </c>
      <c r="E88" s="537">
        <v>17412730</v>
      </c>
      <c r="F88" s="537">
        <v>2221461</v>
      </c>
      <c r="G88" s="537">
        <v>0</v>
      </c>
      <c r="H88" s="548">
        <f t="shared" si="36"/>
        <v>37968186</v>
      </c>
      <c r="I88" s="548">
        <f t="shared" si="37"/>
        <v>37761112</v>
      </c>
      <c r="J88" s="537">
        <v>1659642</v>
      </c>
      <c r="K88" s="537">
        <v>0</v>
      </c>
      <c r="L88" s="537">
        <v>0</v>
      </c>
      <c r="M88" s="537">
        <v>35964319</v>
      </c>
      <c r="N88" s="537">
        <v>137151</v>
      </c>
      <c r="O88" s="537">
        <v>0</v>
      </c>
      <c r="P88" s="537">
        <v>0</v>
      </c>
      <c r="Q88" s="537">
        <v>0</v>
      </c>
      <c r="R88" s="538">
        <v>207074</v>
      </c>
      <c r="S88" s="547">
        <f t="shared" si="13"/>
        <v>36308544</v>
      </c>
      <c r="T88" s="569">
        <f t="shared" si="31"/>
        <v>4.395108915224742</v>
      </c>
      <c r="U88" s="487">
        <f t="shared" si="32"/>
        <v>0</v>
      </c>
    </row>
    <row r="89" spans="1:21" s="406" customFormat="1" ht="24" customHeight="1">
      <c r="A89" s="491" t="s">
        <v>521</v>
      </c>
      <c r="B89" s="491" t="s">
        <v>522</v>
      </c>
      <c r="C89" s="548">
        <f t="shared" si="34"/>
        <v>78040692</v>
      </c>
      <c r="D89" s="537">
        <v>6050377</v>
      </c>
      <c r="E89" s="537">
        <v>71990315</v>
      </c>
      <c r="F89" s="537">
        <v>1332892</v>
      </c>
      <c r="G89" s="537">
        <v>0</v>
      </c>
      <c r="H89" s="548">
        <f t="shared" si="36"/>
        <v>76707800</v>
      </c>
      <c r="I89" s="548">
        <f t="shared" si="37"/>
        <v>76067383</v>
      </c>
      <c r="J89" s="537">
        <v>505654</v>
      </c>
      <c r="K89" s="537">
        <v>0</v>
      </c>
      <c r="L89" s="537">
        <v>0</v>
      </c>
      <c r="M89" s="537">
        <v>75247762</v>
      </c>
      <c r="N89" s="537">
        <v>275528</v>
      </c>
      <c r="O89" s="537">
        <v>0</v>
      </c>
      <c r="P89" s="537">
        <v>0</v>
      </c>
      <c r="Q89" s="537">
        <v>38439</v>
      </c>
      <c r="R89" s="538">
        <v>640417</v>
      </c>
      <c r="S89" s="547">
        <f t="shared" si="13"/>
        <v>76202146</v>
      </c>
      <c r="T89" s="569">
        <f t="shared" si="31"/>
        <v>0.6647448355098532</v>
      </c>
      <c r="U89" s="487">
        <f t="shared" si="32"/>
        <v>0</v>
      </c>
    </row>
    <row r="90" spans="1:21" s="406" customFormat="1" ht="24" customHeight="1">
      <c r="A90" s="491" t="s">
        <v>523</v>
      </c>
      <c r="B90" s="491" t="s">
        <v>524</v>
      </c>
      <c r="C90" s="548">
        <f t="shared" si="34"/>
        <v>22166384</v>
      </c>
      <c r="D90" s="539">
        <v>5193238</v>
      </c>
      <c r="E90" s="539">
        <v>16973146</v>
      </c>
      <c r="F90" s="539">
        <v>0</v>
      </c>
      <c r="G90" s="539">
        <v>0</v>
      </c>
      <c r="H90" s="548">
        <f t="shared" si="36"/>
        <v>22166384</v>
      </c>
      <c r="I90" s="548">
        <f t="shared" si="37"/>
        <v>12091072</v>
      </c>
      <c r="J90" s="539">
        <v>194782</v>
      </c>
      <c r="K90" s="539">
        <v>0</v>
      </c>
      <c r="L90" s="539">
        <v>0</v>
      </c>
      <c r="M90" s="539">
        <v>11896290</v>
      </c>
      <c r="N90" s="539">
        <v>0</v>
      </c>
      <c r="O90" s="539">
        <v>0</v>
      </c>
      <c r="P90" s="539">
        <v>0</v>
      </c>
      <c r="Q90" s="539">
        <v>0</v>
      </c>
      <c r="R90" s="540">
        <v>10075312</v>
      </c>
      <c r="S90" s="547">
        <f t="shared" si="13"/>
        <v>21971602</v>
      </c>
      <c r="T90" s="569">
        <f t="shared" si="31"/>
        <v>1.6109572418392677</v>
      </c>
      <c r="U90" s="487">
        <f t="shared" si="32"/>
        <v>0</v>
      </c>
    </row>
    <row r="91" spans="1:21" s="406" customFormat="1" ht="24" customHeight="1">
      <c r="A91" s="491" t="s">
        <v>525</v>
      </c>
      <c r="B91" s="493" t="s">
        <v>526</v>
      </c>
      <c r="C91" s="548">
        <f t="shared" si="34"/>
        <v>54786068</v>
      </c>
      <c r="D91" s="537">
        <v>53591179</v>
      </c>
      <c r="E91" s="537">
        <v>1194889</v>
      </c>
      <c r="F91" s="537">
        <v>20000</v>
      </c>
      <c r="G91" s="537">
        <v>0</v>
      </c>
      <c r="H91" s="548">
        <f t="shared" si="36"/>
        <v>54766068</v>
      </c>
      <c r="I91" s="548">
        <f t="shared" si="37"/>
        <v>45062674</v>
      </c>
      <c r="J91" s="537">
        <v>592130</v>
      </c>
      <c r="K91" s="537">
        <v>0</v>
      </c>
      <c r="L91" s="537">
        <v>0</v>
      </c>
      <c r="M91" s="537">
        <v>44470544</v>
      </c>
      <c r="N91" s="537">
        <v>0</v>
      </c>
      <c r="O91" s="537">
        <v>0</v>
      </c>
      <c r="P91" s="537">
        <v>0</v>
      </c>
      <c r="Q91" s="537">
        <v>0</v>
      </c>
      <c r="R91" s="538">
        <v>9703394</v>
      </c>
      <c r="S91" s="547">
        <f t="shared" si="13"/>
        <v>54173938</v>
      </c>
      <c r="T91" s="569">
        <f t="shared" si="31"/>
        <v>1.3140143436672223</v>
      </c>
      <c r="U91" s="487">
        <f t="shared" si="32"/>
        <v>0</v>
      </c>
    </row>
    <row r="92" spans="1:21" s="406" customFormat="1" ht="24" customHeight="1">
      <c r="A92" s="491" t="s">
        <v>527</v>
      </c>
      <c r="B92" s="493" t="s">
        <v>528</v>
      </c>
      <c r="C92" s="548">
        <f t="shared" si="34"/>
        <v>7657604</v>
      </c>
      <c r="D92" s="537">
        <v>2970079</v>
      </c>
      <c r="E92" s="537">
        <v>4687525</v>
      </c>
      <c r="F92" s="537">
        <v>0</v>
      </c>
      <c r="G92" s="537">
        <v>0</v>
      </c>
      <c r="H92" s="548">
        <f t="shared" si="36"/>
        <v>7657604</v>
      </c>
      <c r="I92" s="548">
        <f t="shared" si="37"/>
        <v>6770082</v>
      </c>
      <c r="J92" s="537">
        <v>165311</v>
      </c>
      <c r="K92" s="537">
        <v>4890</v>
      </c>
      <c r="L92" s="537">
        <v>0</v>
      </c>
      <c r="M92" s="537">
        <v>6599881</v>
      </c>
      <c r="N92" s="537">
        <v>0</v>
      </c>
      <c r="O92" s="537">
        <v>0</v>
      </c>
      <c r="P92" s="537">
        <v>0</v>
      </c>
      <c r="Q92" s="537">
        <v>0</v>
      </c>
      <c r="R92" s="538">
        <v>887522</v>
      </c>
      <c r="S92" s="547">
        <f t="shared" si="13"/>
        <v>7487403</v>
      </c>
      <c r="T92" s="569">
        <f t="shared" si="31"/>
        <v>2.5140168169307255</v>
      </c>
      <c r="U92" s="487">
        <f t="shared" si="32"/>
        <v>0</v>
      </c>
    </row>
    <row r="93" spans="1:21" s="406" customFormat="1" ht="24" customHeight="1">
      <c r="A93" s="403">
        <v>11</v>
      </c>
      <c r="B93" s="404" t="s">
        <v>529</v>
      </c>
      <c r="C93" s="546">
        <f>C94+C95+C96</f>
        <v>15411066</v>
      </c>
      <c r="D93" s="516">
        <f>D94+D95+D96</f>
        <v>11605126</v>
      </c>
      <c r="E93" s="516">
        <f>E94+E95+E96</f>
        <v>3805940</v>
      </c>
      <c r="F93" s="516">
        <f>SUM(F94:F96)</f>
        <v>20200</v>
      </c>
      <c r="G93" s="516">
        <f>SUM(G94:G96)</f>
        <v>0</v>
      </c>
      <c r="H93" s="546">
        <f>SUM(H94:H96)</f>
        <v>15390866</v>
      </c>
      <c r="I93" s="546">
        <f>I94+I95+I96</f>
        <v>12921228</v>
      </c>
      <c r="J93" s="516">
        <f>SUM(J94:J96)</f>
        <v>3096274</v>
      </c>
      <c r="K93" s="516">
        <f>SUM(K94:K96)</f>
        <v>56530</v>
      </c>
      <c r="L93" s="516">
        <f>SUM(L94:L96)</f>
        <v>0</v>
      </c>
      <c r="M93" s="516">
        <f>M94+M95+M96</f>
        <v>9529350</v>
      </c>
      <c r="N93" s="516">
        <f>SUM(N94:N96)</f>
        <v>0</v>
      </c>
      <c r="O93" s="516">
        <f>SUM(O94:O96)</f>
        <v>0</v>
      </c>
      <c r="P93" s="516">
        <f>SUM(P94:P96)</f>
        <v>0</v>
      </c>
      <c r="Q93" s="541">
        <f>SUM(Q94:Q96)</f>
        <v>239074</v>
      </c>
      <c r="R93" s="561">
        <f>R94+R95+R96</f>
        <v>2469638</v>
      </c>
      <c r="S93" s="546">
        <f t="shared" si="13"/>
        <v>12238062</v>
      </c>
      <c r="T93" s="570">
        <f t="shared" si="31"/>
        <v>24.400188588886444</v>
      </c>
      <c r="U93" s="405">
        <f t="shared" si="32"/>
        <v>0</v>
      </c>
    </row>
    <row r="94" spans="1:21" s="406" customFormat="1" ht="24" customHeight="1">
      <c r="A94" s="491" t="s">
        <v>530</v>
      </c>
      <c r="B94" s="489" t="s">
        <v>531</v>
      </c>
      <c r="C94" s="547">
        <f>D94+E94</f>
        <v>8720</v>
      </c>
      <c r="D94" s="520" t="s">
        <v>577</v>
      </c>
      <c r="E94" s="520">
        <v>8440</v>
      </c>
      <c r="F94" s="520">
        <v>600</v>
      </c>
      <c r="G94" s="520"/>
      <c r="H94" s="547">
        <f>I94+R94</f>
        <v>8120</v>
      </c>
      <c r="I94" s="547">
        <f>J94+K94+L94+M94+N94+O94+P94+Q94</f>
        <v>8120</v>
      </c>
      <c r="J94" s="520">
        <v>7840</v>
      </c>
      <c r="K94" s="520"/>
      <c r="L94" s="520"/>
      <c r="M94" s="520" t="s">
        <v>577</v>
      </c>
      <c r="N94" s="520"/>
      <c r="O94" s="520"/>
      <c r="P94" s="520"/>
      <c r="Q94" s="522"/>
      <c r="R94" s="552"/>
      <c r="S94" s="547">
        <f t="shared" si="13"/>
        <v>280</v>
      </c>
      <c r="T94" s="569">
        <f t="shared" si="31"/>
        <v>96.55172413793103</v>
      </c>
      <c r="U94" s="487">
        <f t="shared" si="32"/>
        <v>0</v>
      </c>
    </row>
    <row r="95" spans="1:21" s="406" customFormat="1" ht="24" customHeight="1">
      <c r="A95" s="491" t="s">
        <v>532</v>
      </c>
      <c r="B95" s="489" t="s">
        <v>533</v>
      </c>
      <c r="C95" s="547">
        <f>D95+E95</f>
        <v>6118684</v>
      </c>
      <c r="D95" s="520">
        <v>5510247</v>
      </c>
      <c r="E95" s="520">
        <v>608437</v>
      </c>
      <c r="F95" s="520"/>
      <c r="G95" s="520"/>
      <c r="H95" s="547">
        <f>I95+R95</f>
        <v>6118684</v>
      </c>
      <c r="I95" s="547">
        <f>J95+K95+L95+M95+N95+O95+P95+Q95</f>
        <v>5553373</v>
      </c>
      <c r="J95" s="520">
        <v>2990384</v>
      </c>
      <c r="K95" s="520"/>
      <c r="L95" s="520"/>
      <c r="M95" s="520">
        <v>2508389</v>
      </c>
      <c r="N95" s="520"/>
      <c r="O95" s="520"/>
      <c r="P95" s="520"/>
      <c r="Q95" s="522">
        <v>54600</v>
      </c>
      <c r="R95" s="552">
        <v>565311</v>
      </c>
      <c r="S95" s="547">
        <f t="shared" si="13"/>
        <v>3128300</v>
      </c>
      <c r="T95" s="569">
        <f t="shared" si="31"/>
        <v>53.848066751504</v>
      </c>
      <c r="U95" s="487">
        <f t="shared" si="32"/>
        <v>0</v>
      </c>
    </row>
    <row r="96" spans="1:21" s="406" customFormat="1" ht="24" customHeight="1">
      <c r="A96" s="491" t="s">
        <v>534</v>
      </c>
      <c r="B96" s="489" t="s">
        <v>535</v>
      </c>
      <c r="C96" s="547">
        <f>D96+E96</f>
        <v>9283662</v>
      </c>
      <c r="D96" s="520">
        <v>6094599</v>
      </c>
      <c r="E96" s="520">
        <v>3189063</v>
      </c>
      <c r="F96" s="520">
        <v>19600</v>
      </c>
      <c r="G96" s="520"/>
      <c r="H96" s="547">
        <f>I96+R96</f>
        <v>9264062</v>
      </c>
      <c r="I96" s="547">
        <f>J96+K96+L96+M96+N96+O96+P96+Q96</f>
        <v>7359735</v>
      </c>
      <c r="J96" s="520">
        <v>98050</v>
      </c>
      <c r="K96" s="520">
        <v>56530</v>
      </c>
      <c r="L96" s="520"/>
      <c r="M96" s="520">
        <v>7020681</v>
      </c>
      <c r="N96" s="520"/>
      <c r="O96" s="520"/>
      <c r="P96" s="520"/>
      <c r="Q96" s="522">
        <v>184474</v>
      </c>
      <c r="R96" s="552">
        <v>1904327</v>
      </c>
      <c r="S96" s="547">
        <f t="shared" si="13"/>
        <v>9109482</v>
      </c>
      <c r="T96" s="569">
        <f t="shared" si="31"/>
        <v>2.1003473630504357</v>
      </c>
      <c r="U96" s="487">
        <f t="shared" si="32"/>
        <v>0</v>
      </c>
    </row>
    <row r="97" spans="1:21" s="406" customFormat="1" ht="24" customHeight="1">
      <c r="A97" s="403">
        <v>12</v>
      </c>
      <c r="B97" s="404" t="s">
        <v>536</v>
      </c>
      <c r="C97" s="562">
        <f>C98+C99</f>
        <v>18219873</v>
      </c>
      <c r="D97" s="542">
        <f>D98+D99</f>
        <v>2478465</v>
      </c>
      <c r="E97" s="542">
        <f>E98+E99</f>
        <v>15741408</v>
      </c>
      <c r="F97" s="542">
        <f>F98+F99</f>
        <v>5000</v>
      </c>
      <c r="G97" s="542">
        <f>G98+G99</f>
        <v>0</v>
      </c>
      <c r="H97" s="562">
        <f>C97-F97-G97</f>
        <v>18214873</v>
      </c>
      <c r="I97" s="562">
        <f>H97-R97</f>
        <v>17074056</v>
      </c>
      <c r="J97" s="542">
        <f>J98+J99</f>
        <v>1563895</v>
      </c>
      <c r="K97" s="542">
        <v>0</v>
      </c>
      <c r="L97" s="542">
        <f>L98+L99</f>
        <v>0</v>
      </c>
      <c r="M97" s="542">
        <f>I97-J97-K97</f>
        <v>15510161</v>
      </c>
      <c r="N97" s="542">
        <f>N98+N99</f>
        <v>0</v>
      </c>
      <c r="O97" s="542">
        <f>O98+O99</f>
        <v>0</v>
      </c>
      <c r="P97" s="542">
        <f>P98+P99</f>
        <v>0</v>
      </c>
      <c r="Q97" s="542">
        <f>Q98+Q99</f>
        <v>0</v>
      </c>
      <c r="R97" s="562">
        <f>R98+R99</f>
        <v>1140817</v>
      </c>
      <c r="S97" s="546">
        <f t="shared" si="13"/>
        <v>16650978</v>
      </c>
      <c r="T97" s="570">
        <f t="shared" si="31"/>
        <v>9.159481496370868</v>
      </c>
      <c r="U97" s="405">
        <f t="shared" si="32"/>
        <v>0</v>
      </c>
    </row>
    <row r="98" spans="1:21" s="406" customFormat="1" ht="24" customHeight="1">
      <c r="A98" s="486">
        <v>12.1</v>
      </c>
      <c r="B98" s="489" t="s">
        <v>581</v>
      </c>
      <c r="C98" s="558">
        <f>D98+E98</f>
        <v>8470086</v>
      </c>
      <c r="D98" s="531">
        <v>611316</v>
      </c>
      <c r="E98" s="531">
        <v>7858770</v>
      </c>
      <c r="F98" s="531"/>
      <c r="G98" s="531"/>
      <c r="H98" s="558">
        <f>C98-F98-G98</f>
        <v>8470086</v>
      </c>
      <c r="I98" s="558">
        <f>H98-R98</f>
        <v>7954620</v>
      </c>
      <c r="J98" s="531">
        <v>218200</v>
      </c>
      <c r="K98" s="531"/>
      <c r="L98" s="531"/>
      <c r="M98" s="531">
        <v>7736420</v>
      </c>
      <c r="N98" s="531"/>
      <c r="O98" s="531"/>
      <c r="P98" s="531"/>
      <c r="Q98" s="531"/>
      <c r="R98" s="558">
        <v>515466</v>
      </c>
      <c r="S98" s="547">
        <f aca="true" t="shared" si="38" ref="S98:S117">H98-J98-K98-L98</f>
        <v>8251886</v>
      </c>
      <c r="T98" s="569">
        <f t="shared" si="31"/>
        <v>2.743060007894783</v>
      </c>
      <c r="U98" s="487">
        <f t="shared" si="32"/>
        <v>0</v>
      </c>
    </row>
    <row r="99" spans="1:21" s="406" customFormat="1" ht="24" customHeight="1">
      <c r="A99" s="486">
        <v>12.2</v>
      </c>
      <c r="B99" s="489" t="s">
        <v>539</v>
      </c>
      <c r="C99" s="558">
        <f>D99+E99</f>
        <v>9749787</v>
      </c>
      <c r="D99" s="531">
        <v>1867149</v>
      </c>
      <c r="E99" s="531">
        <v>7882638</v>
      </c>
      <c r="F99" s="531">
        <v>5000</v>
      </c>
      <c r="G99" s="531" t="s">
        <v>427</v>
      </c>
      <c r="H99" s="558">
        <f>C99-F99-G99</f>
        <v>9744787</v>
      </c>
      <c r="I99" s="558">
        <f>H99-R99</f>
        <v>9119436</v>
      </c>
      <c r="J99" s="531">
        <v>1345695</v>
      </c>
      <c r="K99" s="531">
        <v>331000</v>
      </c>
      <c r="L99" s="531"/>
      <c r="M99" s="531">
        <f>I99-J99-K99</f>
        <v>7442741</v>
      </c>
      <c r="N99" s="531"/>
      <c r="O99" s="531"/>
      <c r="P99" s="531"/>
      <c r="Q99" s="531"/>
      <c r="R99" s="558">
        <v>625351</v>
      </c>
      <c r="S99" s="547">
        <f t="shared" si="38"/>
        <v>8068092</v>
      </c>
      <c r="T99" s="569">
        <f t="shared" si="31"/>
        <v>18.385950622384982</v>
      </c>
      <c r="U99" s="487">
        <f t="shared" si="32"/>
        <v>0</v>
      </c>
    </row>
    <row r="100" spans="1:21" s="406" customFormat="1" ht="24" customHeight="1">
      <c r="A100" s="403">
        <v>13</v>
      </c>
      <c r="B100" s="404" t="s">
        <v>542</v>
      </c>
      <c r="C100" s="562">
        <f>SUM(C101:C108)</f>
        <v>454978567</v>
      </c>
      <c r="D100" s="542">
        <f aca="true" t="shared" si="39" ref="D100:R100">SUM(D101:D108)</f>
        <v>363381290</v>
      </c>
      <c r="E100" s="542">
        <f t="shared" si="39"/>
        <v>91597277</v>
      </c>
      <c r="F100" s="542">
        <f t="shared" si="39"/>
        <v>2439159</v>
      </c>
      <c r="G100" s="562">
        <f t="shared" si="39"/>
        <v>0</v>
      </c>
      <c r="H100" s="562">
        <f t="shared" si="39"/>
        <v>452539408</v>
      </c>
      <c r="I100" s="562">
        <f t="shared" si="39"/>
        <v>440366649</v>
      </c>
      <c r="J100" s="542">
        <f t="shared" si="39"/>
        <v>23667719</v>
      </c>
      <c r="K100" s="542">
        <f t="shared" si="39"/>
        <v>5125065</v>
      </c>
      <c r="L100" s="542">
        <f t="shared" si="39"/>
        <v>0</v>
      </c>
      <c r="M100" s="542">
        <f t="shared" si="39"/>
        <v>411573865</v>
      </c>
      <c r="N100" s="562">
        <f t="shared" si="39"/>
        <v>0</v>
      </c>
      <c r="O100" s="562">
        <f t="shared" si="39"/>
        <v>0</v>
      </c>
      <c r="P100" s="562">
        <f t="shared" si="39"/>
        <v>0</v>
      </c>
      <c r="Q100" s="562">
        <f t="shared" si="39"/>
        <v>0</v>
      </c>
      <c r="R100" s="562">
        <f t="shared" si="39"/>
        <v>12172759</v>
      </c>
      <c r="S100" s="546">
        <f t="shared" si="38"/>
        <v>423746624</v>
      </c>
      <c r="T100" s="570">
        <f t="shared" si="31"/>
        <v>6.538366169505267</v>
      </c>
      <c r="U100" s="405">
        <f t="shared" si="32"/>
        <v>0</v>
      </c>
    </row>
    <row r="101" spans="1:21" s="406" customFormat="1" ht="24" customHeight="1">
      <c r="A101" s="486">
        <v>13.1</v>
      </c>
      <c r="B101" s="491" t="s">
        <v>543</v>
      </c>
      <c r="C101" s="558">
        <f aca="true" t="shared" si="40" ref="C101:C108">D101+E101</f>
        <v>25842744</v>
      </c>
      <c r="D101" s="543">
        <v>7167849</v>
      </c>
      <c r="E101" s="543">
        <v>18674895</v>
      </c>
      <c r="F101" s="543">
        <v>2433709</v>
      </c>
      <c r="G101" s="543">
        <v>0</v>
      </c>
      <c r="H101" s="563">
        <f>I101+R101</f>
        <v>23409035</v>
      </c>
      <c r="I101" s="563">
        <f>SUM(J101:Q101)</f>
        <v>23403665</v>
      </c>
      <c r="J101" s="543">
        <v>1575489</v>
      </c>
      <c r="K101" s="543">
        <v>86023</v>
      </c>
      <c r="L101" s="543">
        <v>0</v>
      </c>
      <c r="M101" s="543">
        <v>21742153</v>
      </c>
      <c r="N101" s="543"/>
      <c r="O101" s="543"/>
      <c r="P101" s="543"/>
      <c r="Q101" s="543"/>
      <c r="R101" s="564">
        <v>5370</v>
      </c>
      <c r="S101" s="547">
        <f t="shared" si="38"/>
        <v>21747523</v>
      </c>
      <c r="T101" s="569">
        <f t="shared" si="31"/>
        <v>7.099366701753763</v>
      </c>
      <c r="U101" s="487">
        <f t="shared" si="32"/>
        <v>0</v>
      </c>
    </row>
    <row r="102" spans="1:21" s="406" customFormat="1" ht="24" customHeight="1">
      <c r="A102" s="486">
        <v>13.2</v>
      </c>
      <c r="B102" s="491" t="s">
        <v>544</v>
      </c>
      <c r="C102" s="558">
        <f t="shared" si="40"/>
        <v>88489184</v>
      </c>
      <c r="D102" s="543">
        <v>87920221</v>
      </c>
      <c r="E102" s="543">
        <v>568963</v>
      </c>
      <c r="F102" s="543">
        <v>0</v>
      </c>
      <c r="G102" s="543">
        <v>0</v>
      </c>
      <c r="H102" s="563">
        <f aca="true" t="shared" si="41" ref="H102:H108">I102+R102</f>
        <v>88489184</v>
      </c>
      <c r="I102" s="563">
        <f aca="true" t="shared" si="42" ref="I102:I108">SUM(J102:Q102)</f>
        <v>87272167</v>
      </c>
      <c r="J102" s="543">
        <v>2432003</v>
      </c>
      <c r="K102" s="543">
        <v>8050</v>
      </c>
      <c r="L102" s="543">
        <v>0</v>
      </c>
      <c r="M102" s="543">
        <v>84832114</v>
      </c>
      <c r="N102" s="543">
        <v>0</v>
      </c>
      <c r="O102" s="543">
        <v>0</v>
      </c>
      <c r="P102" s="543">
        <v>0</v>
      </c>
      <c r="Q102" s="543">
        <v>0</v>
      </c>
      <c r="R102" s="564">
        <v>1217017</v>
      </c>
      <c r="S102" s="547">
        <f t="shared" si="38"/>
        <v>86049131</v>
      </c>
      <c r="T102" s="569">
        <f t="shared" si="31"/>
        <v>2.7959120116726335</v>
      </c>
      <c r="U102" s="487">
        <f t="shared" si="32"/>
        <v>0</v>
      </c>
    </row>
    <row r="103" spans="1:21" s="406" customFormat="1" ht="24" customHeight="1">
      <c r="A103" s="486">
        <v>13.4</v>
      </c>
      <c r="B103" s="491" t="s">
        <v>545</v>
      </c>
      <c r="C103" s="558">
        <f t="shared" si="40"/>
        <v>91196480</v>
      </c>
      <c r="D103" s="543">
        <v>77997535</v>
      </c>
      <c r="E103" s="543">
        <v>13198945</v>
      </c>
      <c r="F103" s="543">
        <v>0</v>
      </c>
      <c r="G103" s="543">
        <v>0</v>
      </c>
      <c r="H103" s="563">
        <f t="shared" si="41"/>
        <v>91196480</v>
      </c>
      <c r="I103" s="563">
        <f t="shared" si="42"/>
        <v>87836501</v>
      </c>
      <c r="J103" s="543">
        <v>10266706</v>
      </c>
      <c r="K103" s="543">
        <v>3886909</v>
      </c>
      <c r="L103" s="543">
        <v>0</v>
      </c>
      <c r="M103" s="543">
        <v>73682886</v>
      </c>
      <c r="N103" s="543">
        <v>0</v>
      </c>
      <c r="O103" s="543">
        <v>0</v>
      </c>
      <c r="P103" s="543">
        <v>0</v>
      </c>
      <c r="Q103" s="543">
        <v>0</v>
      </c>
      <c r="R103" s="564">
        <v>3359979</v>
      </c>
      <c r="S103" s="547">
        <f t="shared" si="38"/>
        <v>77042865</v>
      </c>
      <c r="T103" s="569">
        <f t="shared" si="31"/>
        <v>16.11359154663959</v>
      </c>
      <c r="U103" s="487">
        <f t="shared" si="32"/>
        <v>0</v>
      </c>
    </row>
    <row r="104" spans="1:21" s="406" customFormat="1" ht="24" customHeight="1">
      <c r="A104" s="486">
        <v>13.5</v>
      </c>
      <c r="B104" s="491" t="s">
        <v>546</v>
      </c>
      <c r="C104" s="558">
        <f t="shared" si="40"/>
        <v>69988591</v>
      </c>
      <c r="D104" s="543">
        <v>67956055</v>
      </c>
      <c r="E104" s="543">
        <v>2032536</v>
      </c>
      <c r="F104" s="543">
        <v>0</v>
      </c>
      <c r="G104" s="543">
        <v>0</v>
      </c>
      <c r="H104" s="563">
        <f t="shared" si="41"/>
        <v>69988591</v>
      </c>
      <c r="I104" s="563">
        <f t="shared" si="42"/>
        <v>69142653</v>
      </c>
      <c r="J104" s="543">
        <v>732851</v>
      </c>
      <c r="K104" s="543">
        <v>73608</v>
      </c>
      <c r="L104" s="543">
        <v>0</v>
      </c>
      <c r="M104" s="543">
        <v>68336194</v>
      </c>
      <c r="N104" s="543">
        <v>0</v>
      </c>
      <c r="O104" s="543">
        <v>0</v>
      </c>
      <c r="P104" s="543">
        <v>0</v>
      </c>
      <c r="Q104" s="543">
        <v>0</v>
      </c>
      <c r="R104" s="564">
        <v>845938</v>
      </c>
      <c r="S104" s="547">
        <f t="shared" si="38"/>
        <v>69182132</v>
      </c>
      <c r="T104" s="569">
        <f t="shared" si="31"/>
        <v>1.1663697659966852</v>
      </c>
      <c r="U104" s="487">
        <f t="shared" si="32"/>
        <v>0</v>
      </c>
    </row>
    <row r="105" spans="1:21" s="406" customFormat="1" ht="24" customHeight="1">
      <c r="A105" s="486">
        <v>13.6</v>
      </c>
      <c r="B105" s="491" t="s">
        <v>547</v>
      </c>
      <c r="C105" s="558">
        <f t="shared" si="40"/>
        <v>44613431</v>
      </c>
      <c r="D105" s="543">
        <v>29970030</v>
      </c>
      <c r="E105" s="543">
        <v>14643401</v>
      </c>
      <c r="F105" s="543">
        <v>0</v>
      </c>
      <c r="G105" s="543">
        <v>0</v>
      </c>
      <c r="H105" s="563">
        <f t="shared" si="41"/>
        <v>44613431</v>
      </c>
      <c r="I105" s="563">
        <f t="shared" si="42"/>
        <v>42624938</v>
      </c>
      <c r="J105" s="543">
        <v>695634</v>
      </c>
      <c r="K105" s="543">
        <v>9900</v>
      </c>
      <c r="L105" s="543">
        <v>0</v>
      </c>
      <c r="M105" s="543">
        <v>41919404</v>
      </c>
      <c r="N105" s="543">
        <v>0</v>
      </c>
      <c r="O105" s="543">
        <v>0</v>
      </c>
      <c r="P105" s="543">
        <v>0</v>
      </c>
      <c r="Q105" s="543">
        <v>0</v>
      </c>
      <c r="R105" s="564">
        <v>1988493</v>
      </c>
      <c r="S105" s="547">
        <f t="shared" si="38"/>
        <v>43907897</v>
      </c>
      <c r="T105" s="569">
        <f t="shared" si="31"/>
        <v>1.6552141377894791</v>
      </c>
      <c r="U105" s="487">
        <f t="shared" si="32"/>
        <v>0</v>
      </c>
    </row>
    <row r="106" spans="1:21" s="406" customFormat="1" ht="24" customHeight="1">
      <c r="A106" s="486">
        <v>13.7</v>
      </c>
      <c r="B106" s="491" t="s">
        <v>548</v>
      </c>
      <c r="C106" s="558">
        <f t="shared" si="40"/>
        <v>56006421</v>
      </c>
      <c r="D106" s="543">
        <v>40413931</v>
      </c>
      <c r="E106" s="543">
        <v>15592490</v>
      </c>
      <c r="F106" s="543">
        <v>0</v>
      </c>
      <c r="G106" s="543">
        <v>0</v>
      </c>
      <c r="H106" s="563">
        <f t="shared" si="41"/>
        <v>56006421</v>
      </c>
      <c r="I106" s="563">
        <f t="shared" si="42"/>
        <v>53288560</v>
      </c>
      <c r="J106" s="543">
        <v>4021070</v>
      </c>
      <c r="K106" s="543">
        <v>259577</v>
      </c>
      <c r="L106" s="543">
        <v>0</v>
      </c>
      <c r="M106" s="543">
        <v>49007913</v>
      </c>
      <c r="N106" s="543">
        <v>0</v>
      </c>
      <c r="O106" s="543">
        <v>0</v>
      </c>
      <c r="P106" s="543">
        <v>0</v>
      </c>
      <c r="Q106" s="543">
        <v>0</v>
      </c>
      <c r="R106" s="564">
        <v>2717861</v>
      </c>
      <c r="S106" s="547">
        <f t="shared" si="38"/>
        <v>51725774</v>
      </c>
      <c r="T106" s="569">
        <f t="shared" si="31"/>
        <v>8.032956792227075</v>
      </c>
      <c r="U106" s="487">
        <f t="shared" si="32"/>
        <v>0</v>
      </c>
    </row>
    <row r="107" spans="1:21" s="406" customFormat="1" ht="24" customHeight="1">
      <c r="A107" s="486">
        <v>13.8</v>
      </c>
      <c r="B107" s="491" t="s">
        <v>549</v>
      </c>
      <c r="C107" s="558">
        <f t="shared" si="40"/>
        <v>24801722</v>
      </c>
      <c r="D107" s="543">
        <v>23386485</v>
      </c>
      <c r="E107" s="543">
        <v>1415237</v>
      </c>
      <c r="F107" s="543">
        <v>0</v>
      </c>
      <c r="G107" s="543">
        <v>0</v>
      </c>
      <c r="H107" s="563">
        <f t="shared" si="41"/>
        <v>24801722</v>
      </c>
      <c r="I107" s="563">
        <f t="shared" si="42"/>
        <v>23850335</v>
      </c>
      <c r="J107" s="543">
        <v>2361601</v>
      </c>
      <c r="K107" s="543">
        <v>800998</v>
      </c>
      <c r="L107" s="543">
        <v>0</v>
      </c>
      <c r="M107" s="543">
        <v>20687736</v>
      </c>
      <c r="N107" s="543">
        <v>0</v>
      </c>
      <c r="O107" s="543">
        <v>0</v>
      </c>
      <c r="P107" s="543">
        <v>0</v>
      </c>
      <c r="Q107" s="543">
        <v>0</v>
      </c>
      <c r="R107" s="564">
        <v>951387</v>
      </c>
      <c r="S107" s="547">
        <f t="shared" si="38"/>
        <v>21639123</v>
      </c>
      <c r="T107" s="569">
        <f t="shared" si="31"/>
        <v>13.26018691142074</v>
      </c>
      <c r="U107" s="487">
        <f t="shared" si="32"/>
        <v>0</v>
      </c>
    </row>
    <row r="108" spans="1:21" s="406" customFormat="1" ht="24" customHeight="1">
      <c r="A108" s="486">
        <v>13.9</v>
      </c>
      <c r="B108" s="491" t="s">
        <v>550</v>
      </c>
      <c r="C108" s="558">
        <f t="shared" si="40"/>
        <v>54039994</v>
      </c>
      <c r="D108" s="543">
        <v>28569184</v>
      </c>
      <c r="E108" s="543">
        <v>25470810</v>
      </c>
      <c r="F108" s="543">
        <v>5450</v>
      </c>
      <c r="G108" s="543">
        <v>0</v>
      </c>
      <c r="H108" s="563">
        <f t="shared" si="41"/>
        <v>54034544</v>
      </c>
      <c r="I108" s="563">
        <f t="shared" si="42"/>
        <v>52947830</v>
      </c>
      <c r="J108" s="543">
        <v>1582365</v>
      </c>
      <c r="K108" s="543">
        <v>0</v>
      </c>
      <c r="L108" s="543">
        <v>0</v>
      </c>
      <c r="M108" s="543">
        <v>51365465</v>
      </c>
      <c r="N108" s="543">
        <v>0</v>
      </c>
      <c r="O108" s="543">
        <v>0</v>
      </c>
      <c r="P108" s="543">
        <v>0</v>
      </c>
      <c r="Q108" s="543">
        <v>0</v>
      </c>
      <c r="R108" s="564">
        <v>1086714</v>
      </c>
      <c r="S108" s="547">
        <f t="shared" si="38"/>
        <v>52452179</v>
      </c>
      <c r="T108" s="569">
        <f t="shared" si="31"/>
        <v>2.988536074094066</v>
      </c>
      <c r="U108" s="487">
        <f t="shared" si="32"/>
        <v>0</v>
      </c>
    </row>
    <row r="109" spans="1:21" s="406" customFormat="1" ht="24" customHeight="1">
      <c r="A109" s="403">
        <v>14</v>
      </c>
      <c r="B109" s="404" t="s">
        <v>551</v>
      </c>
      <c r="C109" s="517">
        <f>C110+C111</f>
        <v>12902630</v>
      </c>
      <c r="D109" s="518">
        <f aca="true" t="shared" si="43" ref="D109:R109">D110+D111</f>
        <v>3076148</v>
      </c>
      <c r="E109" s="518">
        <f t="shared" si="43"/>
        <v>9826482</v>
      </c>
      <c r="F109" s="518">
        <f t="shared" si="43"/>
        <v>8000</v>
      </c>
      <c r="G109" s="518">
        <f t="shared" si="43"/>
        <v>0</v>
      </c>
      <c r="H109" s="517">
        <f t="shared" si="43"/>
        <v>12894630</v>
      </c>
      <c r="I109" s="517">
        <f t="shared" si="43"/>
        <v>7159295</v>
      </c>
      <c r="J109" s="518">
        <f t="shared" si="43"/>
        <v>842056</v>
      </c>
      <c r="K109" s="518">
        <f t="shared" si="43"/>
        <v>539247</v>
      </c>
      <c r="L109" s="518">
        <f t="shared" si="43"/>
        <v>0</v>
      </c>
      <c r="M109" s="518">
        <f t="shared" si="43"/>
        <v>5777992</v>
      </c>
      <c r="N109" s="518">
        <f t="shared" si="43"/>
        <v>0</v>
      </c>
      <c r="O109" s="518">
        <f t="shared" si="43"/>
        <v>0</v>
      </c>
      <c r="P109" s="518">
        <f t="shared" si="43"/>
        <v>0</v>
      </c>
      <c r="Q109" s="518">
        <f t="shared" si="43"/>
        <v>0</v>
      </c>
      <c r="R109" s="517">
        <f t="shared" si="43"/>
        <v>5735335</v>
      </c>
      <c r="S109" s="546">
        <f t="shared" si="38"/>
        <v>11513327</v>
      </c>
      <c r="T109" s="570">
        <f t="shared" si="31"/>
        <v>19.293841083514508</v>
      </c>
      <c r="U109" s="405">
        <f t="shared" si="32"/>
        <v>0</v>
      </c>
    </row>
    <row r="110" spans="1:21" s="406" customFormat="1" ht="24" customHeight="1">
      <c r="A110" s="491" t="s">
        <v>552</v>
      </c>
      <c r="B110" s="489" t="s">
        <v>553</v>
      </c>
      <c r="C110" s="519">
        <f>D110+E110</f>
        <v>7141148</v>
      </c>
      <c r="D110" s="544">
        <v>2138931</v>
      </c>
      <c r="E110" s="544">
        <v>5002217</v>
      </c>
      <c r="F110" s="544">
        <v>8000</v>
      </c>
      <c r="G110" s="544">
        <v>0</v>
      </c>
      <c r="H110" s="519">
        <f>I110+R110</f>
        <v>7133148</v>
      </c>
      <c r="I110" s="519">
        <f>SUM(J110,K110,L110,M110,N110,O110,P110,Q110)</f>
        <v>1806580</v>
      </c>
      <c r="J110" s="544">
        <v>508677</v>
      </c>
      <c r="K110" s="544">
        <v>164522</v>
      </c>
      <c r="L110" s="544">
        <v>0</v>
      </c>
      <c r="M110" s="544">
        <v>1133381</v>
      </c>
      <c r="N110" s="544">
        <v>0</v>
      </c>
      <c r="O110" s="545">
        <v>0</v>
      </c>
      <c r="P110" s="545">
        <v>0</v>
      </c>
      <c r="Q110" s="545">
        <v>0</v>
      </c>
      <c r="R110" s="558">
        <v>5326568</v>
      </c>
      <c r="S110" s="547">
        <f t="shared" si="38"/>
        <v>6459949</v>
      </c>
      <c r="T110" s="569">
        <f t="shared" si="31"/>
        <v>37.26372482812829</v>
      </c>
      <c r="U110" s="487">
        <f t="shared" si="32"/>
        <v>0</v>
      </c>
    </row>
    <row r="111" spans="1:21" s="406" customFormat="1" ht="24" customHeight="1">
      <c r="A111" s="491" t="s">
        <v>555</v>
      </c>
      <c r="B111" s="489" t="s">
        <v>556</v>
      </c>
      <c r="C111" s="547">
        <f>D111+E111</f>
        <v>5761482</v>
      </c>
      <c r="D111" s="520">
        <v>937217</v>
      </c>
      <c r="E111" s="520">
        <v>4824265</v>
      </c>
      <c r="F111" s="520">
        <v>0</v>
      </c>
      <c r="G111" s="520">
        <v>0</v>
      </c>
      <c r="H111" s="547">
        <f>SUM(I111,R111)</f>
        <v>5761482</v>
      </c>
      <c r="I111" s="547">
        <f>SUM(J111,K111,L111,M111,N111,O111,P111,Q111)</f>
        <v>5352715</v>
      </c>
      <c r="J111" s="520">
        <v>333379</v>
      </c>
      <c r="K111" s="520">
        <v>374725</v>
      </c>
      <c r="L111" s="520">
        <v>0</v>
      </c>
      <c r="M111" s="520">
        <v>4644611</v>
      </c>
      <c r="N111" s="520">
        <v>0</v>
      </c>
      <c r="O111" s="522">
        <v>0</v>
      </c>
      <c r="P111" s="522">
        <v>0</v>
      </c>
      <c r="Q111" s="522">
        <v>0</v>
      </c>
      <c r="R111" s="558">
        <v>408767</v>
      </c>
      <c r="S111" s="547">
        <f t="shared" si="38"/>
        <v>5053378</v>
      </c>
      <c r="T111" s="569">
        <f t="shared" si="31"/>
        <v>13.228875439846883</v>
      </c>
      <c r="U111" s="487">
        <f t="shared" si="32"/>
        <v>0</v>
      </c>
    </row>
    <row r="112" spans="1:21" s="406" customFormat="1" ht="24" customHeight="1">
      <c r="A112" s="403">
        <v>15</v>
      </c>
      <c r="B112" s="404" t="s">
        <v>559</v>
      </c>
      <c r="C112" s="546">
        <f aca="true" t="shared" si="44" ref="C112:C117">D112+E112</f>
        <v>22585858</v>
      </c>
      <c r="D112" s="516">
        <f>D113+D114+D115+D116+D117</f>
        <v>17201632</v>
      </c>
      <c r="E112" s="516">
        <f>E113+E114+E115+E116+E117</f>
        <v>5384226</v>
      </c>
      <c r="F112" s="516">
        <f>F113+F114+F115+F116+F117</f>
        <v>16922</v>
      </c>
      <c r="G112" s="516">
        <f>G113+G114+G115+G116+G117</f>
        <v>0</v>
      </c>
      <c r="H112" s="546">
        <f>I112+R112</f>
        <v>22568936</v>
      </c>
      <c r="I112" s="546">
        <f>J112+K112+L112+M112+N112+O112+P112+Q112</f>
        <v>20822103</v>
      </c>
      <c r="J112" s="516">
        <f>J113+J114+J115+J116+J117</f>
        <v>2401633</v>
      </c>
      <c r="K112" s="516">
        <f>K113+K114+K115+K116+K117</f>
        <v>2602227</v>
      </c>
      <c r="L112" s="516"/>
      <c r="M112" s="516">
        <f aca="true" t="shared" si="45" ref="M112:R112">M113+M114+M115+M116+M117</f>
        <v>14614898</v>
      </c>
      <c r="N112" s="516">
        <f t="shared" si="45"/>
        <v>305307</v>
      </c>
      <c r="O112" s="516">
        <f t="shared" si="45"/>
        <v>0</v>
      </c>
      <c r="P112" s="516">
        <f t="shared" si="45"/>
        <v>0</v>
      </c>
      <c r="Q112" s="516">
        <f t="shared" si="45"/>
        <v>898038</v>
      </c>
      <c r="R112" s="546">
        <f t="shared" si="45"/>
        <v>1746833</v>
      </c>
      <c r="S112" s="546">
        <f t="shared" si="38"/>
        <v>17565076</v>
      </c>
      <c r="T112" s="570">
        <f t="shared" si="31"/>
        <v>24.03148231473065</v>
      </c>
      <c r="U112" s="405">
        <f t="shared" si="32"/>
        <v>0</v>
      </c>
    </row>
    <row r="113" spans="1:21" s="406" customFormat="1" ht="24" customHeight="1">
      <c r="A113" s="494">
        <v>15.1</v>
      </c>
      <c r="B113" s="489" t="s">
        <v>560</v>
      </c>
      <c r="C113" s="547">
        <f t="shared" si="44"/>
        <v>7771755</v>
      </c>
      <c r="D113" s="520">
        <v>7488438</v>
      </c>
      <c r="E113" s="520">
        <v>283317</v>
      </c>
      <c r="F113" s="520">
        <v>400</v>
      </c>
      <c r="G113" s="520">
        <v>0</v>
      </c>
      <c r="H113" s="547">
        <f>C113-F113-G113</f>
        <v>7771355</v>
      </c>
      <c r="I113" s="547">
        <f>H113-R113</f>
        <v>7746455</v>
      </c>
      <c r="J113" s="520">
        <v>1168004</v>
      </c>
      <c r="K113" s="520">
        <v>580417</v>
      </c>
      <c r="L113" s="520">
        <v>0</v>
      </c>
      <c r="M113" s="520">
        <v>5998034</v>
      </c>
      <c r="N113" s="520">
        <v>0</v>
      </c>
      <c r="O113" s="520">
        <v>0</v>
      </c>
      <c r="P113" s="520">
        <v>0</v>
      </c>
      <c r="Q113" s="522"/>
      <c r="R113" s="552">
        <v>24900</v>
      </c>
      <c r="S113" s="547">
        <f t="shared" si="38"/>
        <v>6022934</v>
      </c>
      <c r="T113" s="569">
        <f t="shared" si="31"/>
        <v>22.57059519483428</v>
      </c>
      <c r="U113" s="487">
        <f t="shared" si="32"/>
        <v>0</v>
      </c>
    </row>
    <row r="114" spans="1:21" s="406" customFormat="1" ht="24" customHeight="1">
      <c r="A114" s="494">
        <v>15.3</v>
      </c>
      <c r="B114" s="495" t="s">
        <v>561</v>
      </c>
      <c r="C114" s="547">
        <f t="shared" si="44"/>
        <v>5553418</v>
      </c>
      <c r="D114" s="520">
        <v>3545419</v>
      </c>
      <c r="E114" s="520">
        <v>2007999</v>
      </c>
      <c r="F114" s="520">
        <v>200</v>
      </c>
      <c r="G114" s="520">
        <v>0</v>
      </c>
      <c r="H114" s="547">
        <f>C114-F114-G114</f>
        <v>5553218</v>
      </c>
      <c r="I114" s="547">
        <f>H114-R114</f>
        <v>4860674</v>
      </c>
      <c r="J114" s="520">
        <v>121792</v>
      </c>
      <c r="K114" s="520">
        <v>5200</v>
      </c>
      <c r="L114" s="520">
        <v>0</v>
      </c>
      <c r="M114" s="520">
        <v>4733682</v>
      </c>
      <c r="N114" s="520">
        <v>0</v>
      </c>
      <c r="O114" s="520">
        <v>0</v>
      </c>
      <c r="P114" s="520">
        <v>0</v>
      </c>
      <c r="Q114" s="522"/>
      <c r="R114" s="552">
        <v>692544</v>
      </c>
      <c r="S114" s="547">
        <f t="shared" si="38"/>
        <v>5426226</v>
      </c>
      <c r="T114" s="569">
        <f t="shared" si="31"/>
        <v>2.6126417858922446</v>
      </c>
      <c r="U114" s="487">
        <f t="shared" si="32"/>
        <v>0</v>
      </c>
    </row>
    <row r="115" spans="1:21" s="406" customFormat="1" ht="24" customHeight="1">
      <c r="A115" s="494">
        <v>15.4</v>
      </c>
      <c r="B115" s="495" t="s">
        <v>563</v>
      </c>
      <c r="C115" s="547">
        <f t="shared" si="44"/>
        <v>2276085</v>
      </c>
      <c r="D115" s="520">
        <v>1643102</v>
      </c>
      <c r="E115" s="520">
        <v>632983</v>
      </c>
      <c r="F115" s="520">
        <v>13297</v>
      </c>
      <c r="G115" s="520" t="s">
        <v>427</v>
      </c>
      <c r="H115" s="547">
        <f>C115-F115-G115</f>
        <v>2262788</v>
      </c>
      <c r="I115" s="547">
        <f>H115-R115</f>
        <v>1602260</v>
      </c>
      <c r="J115" s="520">
        <v>89756</v>
      </c>
      <c r="K115" s="520">
        <v>0</v>
      </c>
      <c r="L115" s="520">
        <v>0</v>
      </c>
      <c r="M115" s="520">
        <v>309159</v>
      </c>
      <c r="N115" s="520">
        <v>305307</v>
      </c>
      <c r="O115" s="520">
        <v>0</v>
      </c>
      <c r="P115" s="520">
        <v>0</v>
      </c>
      <c r="Q115" s="522">
        <v>898038</v>
      </c>
      <c r="R115" s="552">
        <v>660528</v>
      </c>
      <c r="S115" s="547">
        <f t="shared" si="38"/>
        <v>2173032</v>
      </c>
      <c r="T115" s="569">
        <f t="shared" si="31"/>
        <v>5.601837404665909</v>
      </c>
      <c r="U115" s="487">
        <f t="shared" si="32"/>
        <v>0</v>
      </c>
    </row>
    <row r="116" spans="1:21" s="406" customFormat="1" ht="24" customHeight="1">
      <c r="A116" s="494">
        <v>15.5</v>
      </c>
      <c r="B116" s="495" t="s">
        <v>565</v>
      </c>
      <c r="C116" s="547">
        <f t="shared" si="44"/>
        <v>2629813</v>
      </c>
      <c r="D116" s="520">
        <v>798994</v>
      </c>
      <c r="E116" s="520">
        <v>1830819</v>
      </c>
      <c r="F116" s="520">
        <v>0</v>
      </c>
      <c r="G116" s="520">
        <v>0</v>
      </c>
      <c r="H116" s="547">
        <f>C116-F116-G116</f>
        <v>2629813</v>
      </c>
      <c r="I116" s="547">
        <f>H116-R116</f>
        <v>2352754</v>
      </c>
      <c r="J116" s="520">
        <v>969325</v>
      </c>
      <c r="K116" s="520">
        <v>60929</v>
      </c>
      <c r="L116" s="520">
        <v>0</v>
      </c>
      <c r="M116" s="520">
        <v>1322500</v>
      </c>
      <c r="N116" s="520">
        <v>0</v>
      </c>
      <c r="O116" s="520">
        <v>0</v>
      </c>
      <c r="P116" s="520">
        <v>0</v>
      </c>
      <c r="Q116" s="522"/>
      <c r="R116" s="552">
        <v>277059</v>
      </c>
      <c r="S116" s="547">
        <f t="shared" si="38"/>
        <v>1599559</v>
      </c>
      <c r="T116" s="569">
        <f t="shared" si="31"/>
        <v>43.78927843709967</v>
      </c>
      <c r="U116" s="487">
        <f t="shared" si="32"/>
        <v>0</v>
      </c>
    </row>
    <row r="117" spans="1:21" s="406" customFormat="1" ht="24" customHeight="1">
      <c r="A117" s="494">
        <v>15.5</v>
      </c>
      <c r="B117" s="495" t="s">
        <v>567</v>
      </c>
      <c r="C117" s="547">
        <f t="shared" si="44"/>
        <v>4354787</v>
      </c>
      <c r="D117" s="520">
        <v>3725679</v>
      </c>
      <c r="E117" s="520">
        <v>629108</v>
      </c>
      <c r="F117" s="520">
        <v>3025</v>
      </c>
      <c r="G117" s="520">
        <v>0</v>
      </c>
      <c r="H117" s="547">
        <f>C117-F117-G117</f>
        <v>4351762</v>
      </c>
      <c r="I117" s="547">
        <f>H117-R117</f>
        <v>4259960</v>
      </c>
      <c r="J117" s="520">
        <v>52756</v>
      </c>
      <c r="K117" s="520">
        <v>1955681</v>
      </c>
      <c r="L117" s="520">
        <v>0</v>
      </c>
      <c r="M117" s="520">
        <v>2251523</v>
      </c>
      <c r="N117" s="520">
        <v>0</v>
      </c>
      <c r="O117" s="520">
        <v>0</v>
      </c>
      <c r="P117" s="520">
        <v>0</v>
      </c>
      <c r="Q117" s="522"/>
      <c r="R117" s="552">
        <v>91802</v>
      </c>
      <c r="S117" s="547">
        <f t="shared" si="38"/>
        <v>2343325</v>
      </c>
      <c r="T117" s="569">
        <f t="shared" si="31"/>
        <v>47.1468511441422</v>
      </c>
      <c r="U117" s="487">
        <f t="shared" si="32"/>
        <v>0</v>
      </c>
    </row>
    <row r="118" spans="1:21" s="392" customFormat="1" ht="29.25" customHeight="1">
      <c r="A118" s="922"/>
      <c r="B118" s="922"/>
      <c r="C118" s="922"/>
      <c r="D118" s="922"/>
      <c r="E118" s="922"/>
      <c r="F118" s="587"/>
      <c r="G118" s="588"/>
      <c r="H118" s="589"/>
      <c r="I118" s="589"/>
      <c r="J118" s="588"/>
      <c r="K118" s="588"/>
      <c r="L118" s="588"/>
      <c r="M118" s="588"/>
      <c r="N118" s="588"/>
      <c r="O118" s="965" t="s">
        <v>612</v>
      </c>
      <c r="P118" s="965"/>
      <c r="Q118" s="965"/>
      <c r="R118" s="965"/>
      <c r="S118" s="965"/>
      <c r="T118" s="965"/>
      <c r="U118" s="590"/>
    </row>
    <row r="119" spans="1:21" s="392" customFormat="1" ht="19.5" customHeight="1">
      <c r="A119" s="591"/>
      <c r="B119" s="927" t="s">
        <v>4</v>
      </c>
      <c r="C119" s="927"/>
      <c r="D119" s="927"/>
      <c r="E119" s="927"/>
      <c r="F119" s="592"/>
      <c r="G119" s="592"/>
      <c r="H119" s="593"/>
      <c r="I119" s="593"/>
      <c r="J119" s="592"/>
      <c r="K119" s="592"/>
      <c r="L119" s="592"/>
      <c r="M119" s="592"/>
      <c r="N119" s="592"/>
      <c r="O119" s="946" t="s">
        <v>582</v>
      </c>
      <c r="P119" s="946"/>
      <c r="Q119" s="946"/>
      <c r="R119" s="946"/>
      <c r="S119" s="946"/>
      <c r="T119" s="946"/>
      <c r="U119" s="590"/>
    </row>
    <row r="120" spans="1:21" ht="18.75">
      <c r="A120" s="594"/>
      <c r="B120" s="949"/>
      <c r="C120" s="949"/>
      <c r="D120" s="949"/>
      <c r="E120" s="595"/>
      <c r="F120" s="595"/>
      <c r="G120" s="595"/>
      <c r="H120" s="596"/>
      <c r="I120" s="596"/>
      <c r="J120" s="595"/>
      <c r="K120" s="595"/>
      <c r="L120" s="595"/>
      <c r="M120" s="595"/>
      <c r="N120" s="595"/>
      <c r="O120" s="947" t="s">
        <v>583</v>
      </c>
      <c r="P120" s="947"/>
      <c r="Q120" s="947"/>
      <c r="R120" s="947"/>
      <c r="S120" s="947"/>
      <c r="T120" s="947"/>
      <c r="U120" s="573"/>
    </row>
    <row r="121" spans="1:20" ht="18.75">
      <c r="A121" s="382"/>
      <c r="B121" s="380"/>
      <c r="C121" s="399"/>
      <c r="D121" s="398"/>
      <c r="E121" s="398"/>
      <c r="F121" s="398"/>
      <c r="G121" s="398"/>
      <c r="H121" s="399"/>
      <c r="I121" s="399"/>
      <c r="J121" s="398"/>
      <c r="K121" s="398"/>
      <c r="L121" s="398"/>
      <c r="M121" s="398"/>
      <c r="N121" s="398"/>
      <c r="O121" s="398"/>
      <c r="P121" s="398"/>
      <c r="Q121" s="398"/>
      <c r="R121" s="399"/>
      <c r="S121" s="399"/>
      <c r="T121" s="380"/>
    </row>
    <row r="122" spans="1:20" ht="18.75">
      <c r="A122" s="393"/>
      <c r="B122" s="923"/>
      <c r="C122" s="923"/>
      <c r="D122" s="923"/>
      <c r="E122" s="398"/>
      <c r="F122" s="398"/>
      <c r="G122" s="398"/>
      <c r="H122" s="399"/>
      <c r="I122" s="399"/>
      <c r="J122" s="398"/>
      <c r="K122" s="398"/>
      <c r="L122" s="398"/>
      <c r="M122" s="398"/>
      <c r="N122" s="398"/>
      <c r="O122" s="398"/>
      <c r="P122" s="398"/>
      <c r="Q122" s="948"/>
      <c r="R122" s="948"/>
      <c r="S122" s="948"/>
      <c r="T122" s="380"/>
    </row>
    <row r="123" spans="1:20" ht="15.75" customHeight="1">
      <c r="A123" s="383"/>
      <c r="B123" s="380"/>
      <c r="C123" s="399"/>
      <c r="D123" s="398"/>
      <c r="E123" s="398"/>
      <c r="F123" s="398"/>
      <c r="G123" s="398"/>
      <c r="H123" s="399"/>
      <c r="I123" s="399"/>
      <c r="J123" s="398"/>
      <c r="K123" s="398"/>
      <c r="L123" s="398"/>
      <c r="M123" s="398"/>
      <c r="N123" s="398"/>
      <c r="O123" s="398"/>
      <c r="P123" s="398"/>
      <c r="Q123" s="398"/>
      <c r="R123" s="399"/>
      <c r="S123" s="399"/>
      <c r="T123" s="380"/>
    </row>
    <row r="124" spans="1:20" ht="15.75" customHeight="1">
      <c r="A124" s="393"/>
      <c r="B124" s="923"/>
      <c r="C124" s="923"/>
      <c r="D124" s="923"/>
      <c r="E124" s="923"/>
      <c r="F124" s="923"/>
      <c r="G124" s="923"/>
      <c r="H124" s="923"/>
      <c r="I124" s="923"/>
      <c r="J124" s="923"/>
      <c r="K124" s="923"/>
      <c r="L124" s="923"/>
      <c r="M124" s="923"/>
      <c r="N124" s="923"/>
      <c r="O124" s="923"/>
      <c r="P124" s="923"/>
      <c r="Q124" s="398"/>
      <c r="R124" s="399"/>
      <c r="S124" s="399"/>
      <c r="T124" s="380"/>
    </row>
    <row r="125" spans="1:20" ht="18.75">
      <c r="A125" s="394"/>
      <c r="B125" s="397"/>
      <c r="C125" s="400"/>
      <c r="D125" s="401"/>
      <c r="E125" s="401"/>
      <c r="F125" s="401"/>
      <c r="G125" s="401"/>
      <c r="H125" s="400"/>
      <c r="I125" s="400"/>
      <c r="J125" s="401"/>
      <c r="K125" s="401"/>
      <c r="L125" s="401"/>
      <c r="M125" s="401"/>
      <c r="N125" s="401"/>
      <c r="O125" s="401"/>
      <c r="P125" s="401"/>
      <c r="Q125" s="401"/>
      <c r="R125" s="399"/>
      <c r="S125" s="399"/>
      <c r="T125" s="380"/>
    </row>
    <row r="126" spans="1:20" ht="18.75">
      <c r="A126" s="393"/>
      <c r="B126" s="923" t="s">
        <v>580</v>
      </c>
      <c r="C126" s="923"/>
      <c r="D126" s="923"/>
      <c r="E126" s="923"/>
      <c r="F126" s="398"/>
      <c r="G126" s="398"/>
      <c r="H126" s="399"/>
      <c r="I126" s="399"/>
      <c r="J126" s="398"/>
      <c r="K126" s="398"/>
      <c r="L126" s="398"/>
      <c r="M126" s="398"/>
      <c r="N126" s="398"/>
      <c r="O126" s="923" t="s">
        <v>426</v>
      </c>
      <c r="P126" s="923"/>
      <c r="Q126" s="923"/>
      <c r="R126" s="923"/>
      <c r="S126" s="923"/>
      <c r="T126" s="923"/>
    </row>
    <row r="127" spans="2:20" ht="18.75">
      <c r="B127" s="977"/>
      <c r="C127" s="977"/>
      <c r="D127" s="977"/>
      <c r="E127" s="977"/>
      <c r="P127" s="977"/>
      <c r="Q127" s="977"/>
      <c r="R127" s="977"/>
      <c r="S127" s="977"/>
      <c r="T127" s="978"/>
    </row>
  </sheetData>
  <sheetProtection/>
  <mergeCells count="39">
    <mergeCell ref="B127:E127"/>
    <mergeCell ref="P127:T127"/>
    <mergeCell ref="B126:E126"/>
    <mergeCell ref="B124:P124"/>
    <mergeCell ref="O126:T126"/>
    <mergeCell ref="Q122:S122"/>
    <mergeCell ref="B122:D122"/>
    <mergeCell ref="A11:B11"/>
    <mergeCell ref="A6:B9"/>
    <mergeCell ref="C6:E6"/>
    <mergeCell ref="C7:C9"/>
    <mergeCell ref="B119:E119"/>
    <mergeCell ref="A10:B10"/>
    <mergeCell ref="O120:T120"/>
    <mergeCell ref="B120:D120"/>
    <mergeCell ref="O119:T119"/>
    <mergeCell ref="T6:T9"/>
    <mergeCell ref="I7:Q7"/>
    <mergeCell ref="O118:T118"/>
    <mergeCell ref="S6:S9"/>
    <mergeCell ref="A118:E118"/>
    <mergeCell ref="J8:Q8"/>
    <mergeCell ref="H7:H9"/>
    <mergeCell ref="A2:D2"/>
    <mergeCell ref="Q2:T2"/>
    <mergeCell ref="Q4:T4"/>
    <mergeCell ref="A3:D3"/>
    <mergeCell ref="R7:R9"/>
    <mergeCell ref="I8:I9"/>
    <mergeCell ref="E1:P1"/>
    <mergeCell ref="E2:P2"/>
    <mergeCell ref="E3:P3"/>
    <mergeCell ref="F6:F9"/>
    <mergeCell ref="G6:G9"/>
    <mergeCell ref="H6:R6"/>
    <mergeCell ref="Q5:T5"/>
    <mergeCell ref="D7:E7"/>
    <mergeCell ref="D8:D9"/>
    <mergeCell ref="E8:E9"/>
  </mergeCells>
  <printOptions/>
  <pageMargins left="0.24" right="0" top="0" bottom="0" header="0.511811023622047" footer="0.275590551181102"/>
  <pageSetup horizontalDpi="600" verticalDpi="600" orientation="landscape" paperSize="9" scale="76" r:id="rId4"/>
  <headerFooter alignWithMargins="0">
    <oddFooter>&amp;CPage &amp;P</oddFooter>
  </headerFooter>
  <ignoredErrors>
    <ignoredError sqref="C100 H66 C75 H78" formula="1"/>
    <ignoredError sqref="I101:I108 C83:C92 C79:C82 I79:I82" formulaRange="1"/>
  </ignoredErrors>
  <drawing r:id="rId3"/>
  <legacyDrawing r:id="rId2"/>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86" t="s">
        <v>29</v>
      </c>
      <c r="B1" s="686"/>
      <c r="C1" s="686"/>
      <c r="D1" s="686"/>
      <c r="E1" s="685" t="s">
        <v>372</v>
      </c>
      <c r="F1" s="685"/>
      <c r="G1" s="685"/>
      <c r="H1" s="685"/>
      <c r="I1" s="685"/>
      <c r="J1" s="685"/>
      <c r="K1" s="685"/>
      <c r="L1" s="31" t="s">
        <v>348</v>
      </c>
      <c r="M1" s="31"/>
      <c r="N1" s="31"/>
      <c r="O1" s="32"/>
      <c r="P1" s="32"/>
    </row>
    <row r="2" spans="1:16" ht="15.75" customHeight="1">
      <c r="A2" s="667" t="s">
        <v>239</v>
      </c>
      <c r="B2" s="667"/>
      <c r="C2" s="667"/>
      <c r="D2" s="667"/>
      <c r="E2" s="685"/>
      <c r="F2" s="685"/>
      <c r="G2" s="685"/>
      <c r="H2" s="685"/>
      <c r="I2" s="685"/>
      <c r="J2" s="685"/>
      <c r="K2" s="685"/>
      <c r="L2" s="671" t="s">
        <v>251</v>
      </c>
      <c r="M2" s="671"/>
      <c r="N2" s="671"/>
      <c r="O2" s="35"/>
      <c r="P2" s="32"/>
    </row>
    <row r="3" spans="1:16" ht="18" customHeight="1">
      <c r="A3" s="667" t="s">
        <v>240</v>
      </c>
      <c r="B3" s="667"/>
      <c r="C3" s="667"/>
      <c r="D3" s="667"/>
      <c r="E3" s="668" t="s">
        <v>368</v>
      </c>
      <c r="F3" s="668"/>
      <c r="G3" s="668"/>
      <c r="H3" s="668"/>
      <c r="I3" s="668"/>
      <c r="J3" s="668"/>
      <c r="K3" s="36"/>
      <c r="L3" s="672" t="s">
        <v>367</v>
      </c>
      <c r="M3" s="672"/>
      <c r="N3" s="672"/>
      <c r="O3" s="32"/>
      <c r="P3" s="32"/>
    </row>
    <row r="4" spans="1:16" ht="21" customHeight="1">
      <c r="A4" s="670" t="s">
        <v>254</v>
      </c>
      <c r="B4" s="670"/>
      <c r="C4" s="670"/>
      <c r="D4" s="670"/>
      <c r="E4" s="39"/>
      <c r="F4" s="40"/>
      <c r="G4" s="41"/>
      <c r="H4" s="41"/>
      <c r="I4" s="41"/>
      <c r="J4" s="41"/>
      <c r="K4" s="32"/>
      <c r="L4" s="671" t="s">
        <v>246</v>
      </c>
      <c r="M4" s="671"/>
      <c r="N4" s="671"/>
      <c r="O4" s="35"/>
      <c r="P4" s="32"/>
    </row>
    <row r="5" spans="1:16" ht="18" customHeight="1">
      <c r="A5" s="41"/>
      <c r="B5" s="32"/>
      <c r="C5" s="42"/>
      <c r="D5" s="673"/>
      <c r="E5" s="673"/>
      <c r="F5" s="673"/>
      <c r="G5" s="673"/>
      <c r="H5" s="673"/>
      <c r="I5" s="673"/>
      <c r="J5" s="673"/>
      <c r="K5" s="673"/>
      <c r="L5" s="43" t="s">
        <v>255</v>
      </c>
      <c r="M5" s="43"/>
      <c r="N5" s="43"/>
      <c r="O5" s="32"/>
      <c r="P5" s="32"/>
    </row>
    <row r="6" spans="1:18" ht="33" customHeight="1">
      <c r="A6" s="674" t="s">
        <v>55</v>
      </c>
      <c r="B6" s="675"/>
      <c r="C6" s="669" t="s">
        <v>256</v>
      </c>
      <c r="D6" s="669"/>
      <c r="E6" s="669"/>
      <c r="F6" s="669"/>
      <c r="G6" s="651" t="s">
        <v>7</v>
      </c>
      <c r="H6" s="652"/>
      <c r="I6" s="652"/>
      <c r="J6" s="652"/>
      <c r="K6" s="652"/>
      <c r="L6" s="652"/>
      <c r="M6" s="652"/>
      <c r="N6" s="653"/>
      <c r="O6" s="659" t="s">
        <v>257</v>
      </c>
      <c r="P6" s="660"/>
      <c r="Q6" s="660"/>
      <c r="R6" s="661"/>
    </row>
    <row r="7" spans="1:18" ht="29.25" customHeight="1">
      <c r="A7" s="676"/>
      <c r="B7" s="677"/>
      <c r="C7" s="669"/>
      <c r="D7" s="669"/>
      <c r="E7" s="669"/>
      <c r="F7" s="669"/>
      <c r="G7" s="651" t="s">
        <v>258</v>
      </c>
      <c r="H7" s="652"/>
      <c r="I7" s="652"/>
      <c r="J7" s="653"/>
      <c r="K7" s="651" t="s">
        <v>90</v>
      </c>
      <c r="L7" s="652"/>
      <c r="M7" s="652"/>
      <c r="N7" s="653"/>
      <c r="O7" s="45" t="s">
        <v>259</v>
      </c>
      <c r="P7" s="45" t="s">
        <v>260</v>
      </c>
      <c r="Q7" s="662" t="s">
        <v>261</v>
      </c>
      <c r="R7" s="662" t="s">
        <v>262</v>
      </c>
    </row>
    <row r="8" spans="1:18" ht="26.25" customHeight="1">
      <c r="A8" s="676"/>
      <c r="B8" s="677"/>
      <c r="C8" s="654" t="s">
        <v>87</v>
      </c>
      <c r="D8" s="689"/>
      <c r="E8" s="654" t="s">
        <v>86</v>
      </c>
      <c r="F8" s="689"/>
      <c r="G8" s="654" t="s">
        <v>88</v>
      </c>
      <c r="H8" s="655"/>
      <c r="I8" s="654" t="s">
        <v>89</v>
      </c>
      <c r="J8" s="655"/>
      <c r="K8" s="654" t="s">
        <v>91</v>
      </c>
      <c r="L8" s="655"/>
      <c r="M8" s="654" t="s">
        <v>92</v>
      </c>
      <c r="N8" s="655"/>
      <c r="O8" s="664" t="s">
        <v>263</v>
      </c>
      <c r="P8" s="665" t="s">
        <v>264</v>
      </c>
      <c r="Q8" s="662"/>
      <c r="R8" s="662"/>
    </row>
    <row r="9" spans="1:18" ht="30.75" customHeight="1">
      <c r="A9" s="676"/>
      <c r="B9" s="677"/>
      <c r="C9" s="46" t="s">
        <v>3</v>
      </c>
      <c r="D9" s="44" t="s">
        <v>9</v>
      </c>
      <c r="E9" s="44" t="s">
        <v>3</v>
      </c>
      <c r="F9" s="44" t="s">
        <v>9</v>
      </c>
      <c r="G9" s="47" t="s">
        <v>3</v>
      </c>
      <c r="H9" s="47" t="s">
        <v>9</v>
      </c>
      <c r="I9" s="47" t="s">
        <v>3</v>
      </c>
      <c r="J9" s="47" t="s">
        <v>9</v>
      </c>
      <c r="K9" s="47" t="s">
        <v>3</v>
      </c>
      <c r="L9" s="47" t="s">
        <v>9</v>
      </c>
      <c r="M9" s="47" t="s">
        <v>3</v>
      </c>
      <c r="N9" s="47" t="s">
        <v>9</v>
      </c>
      <c r="O9" s="664"/>
      <c r="P9" s="666"/>
      <c r="Q9" s="663"/>
      <c r="R9" s="663"/>
    </row>
    <row r="10" spans="1:18" s="52" customFormat="1" ht="18" customHeight="1">
      <c r="A10" s="658" t="s">
        <v>6</v>
      </c>
      <c r="B10" s="658"/>
      <c r="C10" s="48">
        <v>1</v>
      </c>
      <c r="D10" s="48">
        <v>2</v>
      </c>
      <c r="E10" s="48">
        <v>3</v>
      </c>
      <c r="F10" s="48">
        <v>4</v>
      </c>
      <c r="G10" s="48">
        <v>5</v>
      </c>
      <c r="H10" s="48">
        <v>6</v>
      </c>
      <c r="I10" s="48">
        <v>7</v>
      </c>
      <c r="J10" s="48">
        <v>8</v>
      </c>
      <c r="K10" s="48">
        <v>9</v>
      </c>
      <c r="L10" s="48">
        <v>10</v>
      </c>
      <c r="M10" s="48">
        <v>11</v>
      </c>
      <c r="N10" s="48">
        <v>12</v>
      </c>
      <c r="O10" s="49" t="s">
        <v>84</v>
      </c>
      <c r="P10" s="49" t="s">
        <v>85</v>
      </c>
      <c r="Q10" s="50"/>
      <c r="R10" s="51"/>
    </row>
    <row r="11" spans="1:18" s="52" customFormat="1" ht="18" customHeight="1" hidden="1">
      <c r="A11" s="681" t="s">
        <v>265</v>
      </c>
      <c r="B11" s="682"/>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683" t="s">
        <v>369</v>
      </c>
      <c r="B12" s="684"/>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678" t="s">
        <v>31</v>
      </c>
      <c r="B13" s="679"/>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266</v>
      </c>
    </row>
    <row r="14" spans="1:37" s="52" customFormat="1" ht="18" customHeight="1">
      <c r="A14" s="59" t="s">
        <v>0</v>
      </c>
      <c r="B14" s="60" t="s">
        <v>78</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267</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268</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269</v>
      </c>
    </row>
    <row r="18" spans="1:18" s="70" customFormat="1" ht="18" customHeight="1">
      <c r="A18" s="66" t="s">
        <v>47</v>
      </c>
      <c r="B18" s="67" t="s">
        <v>270</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56</v>
      </c>
      <c r="B19" s="67" t="s">
        <v>271</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57</v>
      </c>
      <c r="B20" s="71" t="s">
        <v>272</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58</v>
      </c>
      <c r="B21" s="67" t="s">
        <v>273</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274</v>
      </c>
      <c r="AK21" s="52" t="s">
        <v>275</v>
      </c>
      <c r="AL21" s="52" t="s">
        <v>276</v>
      </c>
      <c r="AM21" s="63" t="s">
        <v>277</v>
      </c>
    </row>
    <row r="22" spans="1:39" s="52" customFormat="1" ht="18" customHeight="1">
      <c r="A22" s="66" t="s">
        <v>59</v>
      </c>
      <c r="B22" s="67" t="s">
        <v>278</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279</v>
      </c>
    </row>
    <row r="23" spans="1:18" s="52" customFormat="1" ht="18" customHeight="1">
      <c r="A23" s="66" t="s">
        <v>60</v>
      </c>
      <c r="B23" s="67" t="s">
        <v>280</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61</v>
      </c>
      <c r="B24" s="67" t="s">
        <v>281</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274</v>
      </c>
    </row>
    <row r="25" spans="1:36" s="52" customFormat="1" ht="18" customHeight="1">
      <c r="A25" s="66" t="s">
        <v>81</v>
      </c>
      <c r="B25" s="67" t="s">
        <v>282</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283</v>
      </c>
    </row>
    <row r="26" spans="1:44" s="52" customFormat="1" ht="18" customHeight="1">
      <c r="A26" s="66" t="s">
        <v>82</v>
      </c>
      <c r="B26" s="67" t="s">
        <v>284</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80" t="s">
        <v>370</v>
      </c>
      <c r="C28" s="680"/>
      <c r="D28" s="680"/>
      <c r="E28" s="680"/>
      <c r="F28" s="75"/>
      <c r="G28" s="76"/>
      <c r="H28" s="76"/>
      <c r="I28" s="76"/>
      <c r="J28" s="680" t="s">
        <v>371</v>
      </c>
      <c r="K28" s="680"/>
      <c r="L28" s="680"/>
      <c r="M28" s="680"/>
      <c r="N28" s="680"/>
      <c r="O28" s="77"/>
      <c r="P28" s="77"/>
      <c r="AG28" s="78" t="s">
        <v>286</v>
      </c>
      <c r="AI28" s="79">
        <f>82/88</f>
        <v>0.9318181818181818</v>
      </c>
    </row>
    <row r="29" spans="1:16" s="85" customFormat="1" ht="19.5" customHeight="1">
      <c r="A29" s="80"/>
      <c r="B29" s="648" t="s">
        <v>35</v>
      </c>
      <c r="C29" s="648"/>
      <c r="D29" s="648"/>
      <c r="E29" s="648"/>
      <c r="F29" s="82"/>
      <c r="G29" s="83"/>
      <c r="H29" s="83"/>
      <c r="I29" s="83"/>
      <c r="J29" s="648" t="s">
        <v>287</v>
      </c>
      <c r="K29" s="648"/>
      <c r="L29" s="648"/>
      <c r="M29" s="648"/>
      <c r="N29" s="648"/>
      <c r="O29" s="84"/>
      <c r="P29" s="84"/>
    </row>
    <row r="30" spans="1:16" s="85" customFormat="1" ht="19.5" customHeight="1">
      <c r="A30" s="80"/>
      <c r="B30" s="656"/>
      <c r="C30" s="656"/>
      <c r="D30" s="656"/>
      <c r="E30" s="82"/>
      <c r="F30" s="82"/>
      <c r="G30" s="83"/>
      <c r="H30" s="83"/>
      <c r="I30" s="83"/>
      <c r="J30" s="657"/>
      <c r="K30" s="657"/>
      <c r="L30" s="657"/>
      <c r="M30" s="657"/>
      <c r="N30" s="657"/>
      <c r="O30" s="84"/>
      <c r="P30" s="84"/>
    </row>
    <row r="31" spans="1:16" s="85" customFormat="1" ht="8.25" customHeight="1">
      <c r="A31" s="80"/>
      <c r="B31" s="86"/>
      <c r="C31" s="86" t="s">
        <v>83</v>
      </c>
      <c r="D31" s="86"/>
      <c r="E31" s="87"/>
      <c r="F31" s="87"/>
      <c r="G31" s="88"/>
      <c r="H31" s="88"/>
      <c r="I31" s="88"/>
      <c r="J31" s="86"/>
      <c r="K31" s="86"/>
      <c r="L31" s="86"/>
      <c r="M31" s="86"/>
      <c r="N31" s="86"/>
      <c r="O31" s="84"/>
      <c r="P31" s="84"/>
    </row>
    <row r="32" spans="1:16" s="85" customFormat="1" ht="9" customHeight="1">
      <c r="A32" s="80"/>
      <c r="B32" s="650" t="s">
        <v>288</v>
      </c>
      <c r="C32" s="650"/>
      <c r="D32" s="650"/>
      <c r="E32" s="650"/>
      <c r="F32" s="87"/>
      <c r="G32" s="88"/>
      <c r="H32" s="88"/>
      <c r="I32" s="88"/>
      <c r="J32" s="649" t="s">
        <v>288</v>
      </c>
      <c r="K32" s="649"/>
      <c r="L32" s="649"/>
      <c r="M32" s="649"/>
      <c r="N32" s="649"/>
      <c r="O32" s="84"/>
      <c r="P32" s="84"/>
    </row>
    <row r="33" spans="1:16" s="85" customFormat="1" ht="19.5" customHeight="1">
      <c r="A33" s="80"/>
      <c r="B33" s="648" t="s">
        <v>289</v>
      </c>
      <c r="C33" s="648"/>
      <c r="D33" s="648"/>
      <c r="E33" s="648"/>
      <c r="F33" s="82"/>
      <c r="G33" s="83"/>
      <c r="H33" s="83"/>
      <c r="I33" s="83"/>
      <c r="J33" s="81"/>
      <c r="K33" s="648" t="s">
        <v>289</v>
      </c>
      <c r="L33" s="648"/>
      <c r="M33" s="648"/>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687" t="s">
        <v>242</v>
      </c>
      <c r="C36" s="687"/>
      <c r="D36" s="687"/>
      <c r="E36" s="687"/>
      <c r="F36" s="91"/>
      <c r="G36" s="91"/>
      <c r="H36" s="91"/>
      <c r="I36" s="91"/>
      <c r="J36" s="688" t="s">
        <v>243</v>
      </c>
      <c r="K36" s="688"/>
      <c r="L36" s="688"/>
      <c r="M36" s="688"/>
      <c r="N36" s="688"/>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6:E36"/>
    <mergeCell ref="J36:N36"/>
    <mergeCell ref="B29:E29"/>
    <mergeCell ref="E8:F8"/>
    <mergeCell ref="G8:H8"/>
    <mergeCell ref="C8:D8"/>
    <mergeCell ref="A13:B13"/>
    <mergeCell ref="B28:E28"/>
    <mergeCell ref="J28:N28"/>
    <mergeCell ref="J29:N29"/>
    <mergeCell ref="A11:B11"/>
    <mergeCell ref="A12:B12"/>
    <mergeCell ref="L2:N2"/>
    <mergeCell ref="L3:N3"/>
    <mergeCell ref="L4:N4"/>
    <mergeCell ref="M8:N8"/>
    <mergeCell ref="K7:N7"/>
    <mergeCell ref="D5:K5"/>
    <mergeCell ref="G6:N6"/>
    <mergeCell ref="I8:J8"/>
    <mergeCell ref="E1:K2"/>
    <mergeCell ref="A1:D1"/>
    <mergeCell ref="O6:R6"/>
    <mergeCell ref="R7:R9"/>
    <mergeCell ref="Q7:Q9"/>
    <mergeCell ref="O8:O9"/>
    <mergeCell ref="P8:P9"/>
    <mergeCell ref="A2:D2"/>
    <mergeCell ref="E3:J3"/>
    <mergeCell ref="A3:D3"/>
    <mergeCell ref="C6:F7"/>
    <mergeCell ref="A4:D4"/>
    <mergeCell ref="B33:E33"/>
    <mergeCell ref="K33:M33"/>
    <mergeCell ref="J32:N32"/>
    <mergeCell ref="B32:E32"/>
    <mergeCell ref="G7:J7"/>
    <mergeCell ref="K8:L8"/>
    <mergeCell ref="B30:D30"/>
    <mergeCell ref="J30:N30"/>
    <mergeCell ref="A10:B10"/>
    <mergeCell ref="A6:B9"/>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90" t="s">
        <v>26</v>
      </c>
      <c r="B1" s="690"/>
      <c r="C1" s="98"/>
      <c r="D1" s="697" t="s">
        <v>349</v>
      </c>
      <c r="E1" s="697"/>
      <c r="F1" s="697"/>
      <c r="G1" s="697"/>
      <c r="H1" s="697"/>
      <c r="I1" s="697"/>
      <c r="J1" s="697"/>
      <c r="K1" s="697"/>
      <c r="L1" s="697"/>
      <c r="M1" s="715" t="s">
        <v>290</v>
      </c>
      <c r="N1" s="716"/>
      <c r="O1" s="716"/>
      <c r="P1" s="716"/>
    </row>
    <row r="2" spans="1:16" s="42" customFormat="1" ht="34.5" customHeight="1">
      <c r="A2" s="696" t="s">
        <v>291</v>
      </c>
      <c r="B2" s="696"/>
      <c r="C2" s="696"/>
      <c r="D2" s="697"/>
      <c r="E2" s="697"/>
      <c r="F2" s="697"/>
      <c r="G2" s="697"/>
      <c r="H2" s="697"/>
      <c r="I2" s="697"/>
      <c r="J2" s="697"/>
      <c r="K2" s="697"/>
      <c r="L2" s="697"/>
      <c r="M2" s="717" t="s">
        <v>350</v>
      </c>
      <c r="N2" s="718"/>
      <c r="O2" s="718"/>
      <c r="P2" s="718"/>
    </row>
    <row r="3" spans="1:16" s="42" customFormat="1" ht="19.5" customHeight="1">
      <c r="A3" s="695" t="s">
        <v>292</v>
      </c>
      <c r="B3" s="695"/>
      <c r="C3" s="695"/>
      <c r="D3" s="697"/>
      <c r="E3" s="697"/>
      <c r="F3" s="697"/>
      <c r="G3" s="697"/>
      <c r="H3" s="697"/>
      <c r="I3" s="697"/>
      <c r="J3" s="697"/>
      <c r="K3" s="697"/>
      <c r="L3" s="697"/>
      <c r="M3" s="717" t="s">
        <v>293</v>
      </c>
      <c r="N3" s="718"/>
      <c r="O3" s="718"/>
      <c r="P3" s="718"/>
    </row>
    <row r="4" spans="1:16" s="103" customFormat="1" ht="18.75" customHeight="1">
      <c r="A4" s="99"/>
      <c r="B4" s="99"/>
      <c r="C4" s="100"/>
      <c r="D4" s="673"/>
      <c r="E4" s="673"/>
      <c r="F4" s="673"/>
      <c r="G4" s="673"/>
      <c r="H4" s="673"/>
      <c r="I4" s="673"/>
      <c r="J4" s="673"/>
      <c r="K4" s="673"/>
      <c r="L4" s="673"/>
      <c r="M4" s="101" t="s">
        <v>294</v>
      </c>
      <c r="N4" s="102"/>
      <c r="O4" s="102"/>
      <c r="P4" s="102"/>
    </row>
    <row r="5" spans="1:16" ht="49.5" customHeight="1">
      <c r="A5" s="702" t="s">
        <v>55</v>
      </c>
      <c r="B5" s="703"/>
      <c r="C5" s="692" t="s">
        <v>80</v>
      </c>
      <c r="D5" s="693"/>
      <c r="E5" s="693"/>
      <c r="F5" s="693"/>
      <c r="G5" s="693"/>
      <c r="H5" s="693"/>
      <c r="I5" s="693"/>
      <c r="J5" s="693"/>
      <c r="K5" s="691" t="s">
        <v>79</v>
      </c>
      <c r="L5" s="691"/>
      <c r="M5" s="691"/>
      <c r="N5" s="691"/>
      <c r="O5" s="691"/>
      <c r="P5" s="691"/>
    </row>
    <row r="6" spans="1:16" ht="20.25" customHeight="1">
      <c r="A6" s="704"/>
      <c r="B6" s="705"/>
      <c r="C6" s="692" t="s">
        <v>3</v>
      </c>
      <c r="D6" s="693"/>
      <c r="E6" s="693"/>
      <c r="F6" s="694"/>
      <c r="G6" s="691" t="s">
        <v>9</v>
      </c>
      <c r="H6" s="691"/>
      <c r="I6" s="691"/>
      <c r="J6" s="691"/>
      <c r="K6" s="719" t="s">
        <v>3</v>
      </c>
      <c r="L6" s="719"/>
      <c r="M6" s="719"/>
      <c r="N6" s="714" t="s">
        <v>9</v>
      </c>
      <c r="O6" s="714"/>
      <c r="P6" s="714"/>
    </row>
    <row r="7" spans="1:16" ht="52.5" customHeight="1">
      <c r="A7" s="704"/>
      <c r="B7" s="705"/>
      <c r="C7" s="708" t="s">
        <v>295</v>
      </c>
      <c r="D7" s="693" t="s">
        <v>76</v>
      </c>
      <c r="E7" s="693"/>
      <c r="F7" s="694"/>
      <c r="G7" s="691" t="s">
        <v>296</v>
      </c>
      <c r="H7" s="691" t="s">
        <v>76</v>
      </c>
      <c r="I7" s="691"/>
      <c r="J7" s="691"/>
      <c r="K7" s="691" t="s">
        <v>32</v>
      </c>
      <c r="L7" s="691" t="s">
        <v>77</v>
      </c>
      <c r="M7" s="691"/>
      <c r="N7" s="691" t="s">
        <v>62</v>
      </c>
      <c r="O7" s="691" t="s">
        <v>77</v>
      </c>
      <c r="P7" s="691"/>
    </row>
    <row r="8" spans="1:16" ht="15.75" customHeight="1">
      <c r="A8" s="704"/>
      <c r="B8" s="705"/>
      <c r="C8" s="708"/>
      <c r="D8" s="691" t="s">
        <v>36</v>
      </c>
      <c r="E8" s="691" t="s">
        <v>37</v>
      </c>
      <c r="F8" s="691" t="s">
        <v>40</v>
      </c>
      <c r="G8" s="691"/>
      <c r="H8" s="691" t="s">
        <v>36</v>
      </c>
      <c r="I8" s="691" t="s">
        <v>37</v>
      </c>
      <c r="J8" s="691" t="s">
        <v>40</v>
      </c>
      <c r="K8" s="691"/>
      <c r="L8" s="691" t="s">
        <v>14</v>
      </c>
      <c r="M8" s="691" t="s">
        <v>13</v>
      </c>
      <c r="N8" s="691"/>
      <c r="O8" s="691" t="s">
        <v>14</v>
      </c>
      <c r="P8" s="691" t="s">
        <v>13</v>
      </c>
    </row>
    <row r="9" spans="1:16" ht="44.25" customHeight="1">
      <c r="A9" s="706"/>
      <c r="B9" s="707"/>
      <c r="C9" s="709"/>
      <c r="D9" s="691"/>
      <c r="E9" s="691"/>
      <c r="F9" s="691"/>
      <c r="G9" s="691"/>
      <c r="H9" s="691"/>
      <c r="I9" s="691"/>
      <c r="J9" s="691"/>
      <c r="K9" s="691"/>
      <c r="L9" s="691"/>
      <c r="M9" s="691"/>
      <c r="N9" s="691"/>
      <c r="O9" s="691"/>
      <c r="P9" s="691"/>
    </row>
    <row r="10" spans="1:16" ht="15" customHeight="1">
      <c r="A10" s="700" t="s">
        <v>6</v>
      </c>
      <c r="B10" s="701"/>
      <c r="C10" s="105">
        <v>1</v>
      </c>
      <c r="D10" s="105" t="s">
        <v>44</v>
      </c>
      <c r="E10" s="105" t="s">
        <v>47</v>
      </c>
      <c r="F10" s="105" t="s">
        <v>56</v>
      </c>
      <c r="G10" s="105" t="s">
        <v>57</v>
      </c>
      <c r="H10" s="105" t="s">
        <v>58</v>
      </c>
      <c r="I10" s="105" t="s">
        <v>59</v>
      </c>
      <c r="J10" s="105" t="s">
        <v>60</v>
      </c>
      <c r="K10" s="105" t="s">
        <v>61</v>
      </c>
      <c r="L10" s="105" t="s">
        <v>81</v>
      </c>
      <c r="M10" s="105" t="s">
        <v>82</v>
      </c>
      <c r="N10" s="105" t="s">
        <v>83</v>
      </c>
      <c r="O10" s="105" t="s">
        <v>84</v>
      </c>
      <c r="P10" s="105" t="s">
        <v>85</v>
      </c>
    </row>
    <row r="11" spans="1:16" ht="15" customHeight="1">
      <c r="A11" s="712" t="s">
        <v>297</v>
      </c>
      <c r="B11" s="713"/>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710" t="s">
        <v>298</v>
      </c>
      <c r="B12" s="711"/>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98" t="s">
        <v>33</v>
      </c>
      <c r="B13" s="699"/>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266</v>
      </c>
    </row>
    <row r="14" spans="1:37" ht="15" customHeight="1">
      <c r="A14" s="109" t="s">
        <v>0</v>
      </c>
      <c r="B14" s="110" t="s">
        <v>78</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267</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299</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269</v>
      </c>
    </row>
    <row r="18" spans="1:16" s="42" customFormat="1" ht="15" customHeight="1">
      <c r="A18" s="116" t="s">
        <v>47</v>
      </c>
      <c r="B18" s="117" t="s">
        <v>270</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56</v>
      </c>
      <c r="B19" s="117" t="s">
        <v>271</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57</v>
      </c>
      <c r="B20" s="117" t="s">
        <v>272</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58</v>
      </c>
      <c r="B21" s="117" t="s">
        <v>273</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274</v>
      </c>
      <c r="AK21" s="42" t="s">
        <v>275</v>
      </c>
      <c r="AL21" s="42" t="s">
        <v>276</v>
      </c>
      <c r="AM21" s="113" t="s">
        <v>277</v>
      </c>
    </row>
    <row r="22" spans="1:39" s="42" customFormat="1" ht="15" customHeight="1">
      <c r="A22" s="116" t="s">
        <v>59</v>
      </c>
      <c r="B22" s="117" t="s">
        <v>278</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279</v>
      </c>
    </row>
    <row r="23" spans="1:16" s="42" customFormat="1" ht="15" customHeight="1">
      <c r="A23" s="116" t="s">
        <v>60</v>
      </c>
      <c r="B23" s="117" t="s">
        <v>280</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61</v>
      </c>
      <c r="B24" s="117" t="s">
        <v>281</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274</v>
      </c>
    </row>
    <row r="25" spans="1:36" s="42" customFormat="1" ht="15" customHeight="1">
      <c r="A25" s="116" t="s">
        <v>81</v>
      </c>
      <c r="B25" s="117" t="s">
        <v>282</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283</v>
      </c>
    </row>
    <row r="26" spans="1:44" s="42" customFormat="1" ht="15" customHeight="1">
      <c r="A26" s="116" t="s">
        <v>82</v>
      </c>
      <c r="B26" s="117" t="s">
        <v>284</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725" t="s">
        <v>351</v>
      </c>
      <c r="C28" s="726"/>
      <c r="D28" s="726"/>
      <c r="E28" s="726"/>
      <c r="F28" s="123"/>
      <c r="G28" s="123"/>
      <c r="H28" s="123"/>
      <c r="I28" s="123"/>
      <c r="J28" s="123"/>
      <c r="K28" s="720" t="s">
        <v>352</v>
      </c>
      <c r="L28" s="720"/>
      <c r="M28" s="720"/>
      <c r="N28" s="720"/>
      <c r="O28" s="720"/>
      <c r="P28" s="720"/>
      <c r="AG28" s="73" t="s">
        <v>286</v>
      </c>
      <c r="AI28" s="113">
        <f>82/88</f>
        <v>0.9318181818181818</v>
      </c>
    </row>
    <row r="29" spans="2:16" ht="16.5">
      <c r="B29" s="726"/>
      <c r="C29" s="726"/>
      <c r="D29" s="726"/>
      <c r="E29" s="726"/>
      <c r="F29" s="123"/>
      <c r="G29" s="123"/>
      <c r="H29" s="123"/>
      <c r="I29" s="123"/>
      <c r="J29" s="123"/>
      <c r="K29" s="720"/>
      <c r="L29" s="720"/>
      <c r="M29" s="720"/>
      <c r="N29" s="720"/>
      <c r="O29" s="720"/>
      <c r="P29" s="720"/>
    </row>
    <row r="30" spans="2:16" ht="21" customHeight="1">
      <c r="B30" s="726"/>
      <c r="C30" s="726"/>
      <c r="D30" s="726"/>
      <c r="E30" s="726"/>
      <c r="F30" s="123"/>
      <c r="G30" s="123"/>
      <c r="H30" s="123"/>
      <c r="I30" s="123"/>
      <c r="J30" s="123"/>
      <c r="K30" s="720"/>
      <c r="L30" s="720"/>
      <c r="M30" s="720"/>
      <c r="N30" s="720"/>
      <c r="O30" s="720"/>
      <c r="P30" s="720"/>
    </row>
    <row r="32" spans="2:16" ht="16.5" customHeight="1">
      <c r="B32" s="728" t="s">
        <v>289</v>
      </c>
      <c r="C32" s="728"/>
      <c r="D32" s="728"/>
      <c r="E32" s="124"/>
      <c r="F32" s="124"/>
      <c r="G32" s="124"/>
      <c r="H32" s="124"/>
      <c r="I32" s="124"/>
      <c r="J32" s="124"/>
      <c r="K32" s="727" t="s">
        <v>353</v>
      </c>
      <c r="L32" s="727"/>
      <c r="M32" s="727"/>
      <c r="N32" s="727"/>
      <c r="O32" s="727"/>
      <c r="P32" s="727"/>
    </row>
    <row r="33" ht="12.75" customHeight="1"/>
    <row r="34" spans="2:5" ht="15.75">
      <c r="B34" s="125"/>
      <c r="C34" s="125"/>
      <c r="D34" s="125"/>
      <c r="E34" s="125"/>
    </row>
    <row r="35" ht="15.75" hidden="1"/>
    <row r="36" spans="2:16" ht="15.75">
      <c r="B36" s="723" t="s">
        <v>242</v>
      </c>
      <c r="C36" s="723"/>
      <c r="D36" s="723"/>
      <c r="E36" s="723"/>
      <c r="F36" s="126"/>
      <c r="G36" s="126"/>
      <c r="H36" s="126"/>
      <c r="I36" s="126"/>
      <c r="K36" s="724" t="s">
        <v>243</v>
      </c>
      <c r="L36" s="724"/>
      <c r="M36" s="724"/>
      <c r="N36" s="724"/>
      <c r="O36" s="724"/>
      <c r="P36" s="724"/>
    </row>
    <row r="39" ht="15.75">
      <c r="A39" s="128" t="s">
        <v>41</v>
      </c>
    </row>
    <row r="40" spans="1:6" ht="15.75">
      <c r="A40" s="129"/>
      <c r="B40" s="130" t="s">
        <v>48</v>
      </c>
      <c r="C40" s="130"/>
      <c r="D40" s="130"/>
      <c r="E40" s="130"/>
      <c r="F40" s="130"/>
    </row>
    <row r="41" spans="1:14" ht="15.75" customHeight="1">
      <c r="A41" s="131" t="s">
        <v>25</v>
      </c>
      <c r="B41" s="722" t="s">
        <v>51</v>
      </c>
      <c r="C41" s="722"/>
      <c r="D41" s="722"/>
      <c r="E41" s="722"/>
      <c r="F41" s="722"/>
      <c r="G41" s="131"/>
      <c r="H41" s="131"/>
      <c r="I41" s="131"/>
      <c r="J41" s="131"/>
      <c r="K41" s="131"/>
      <c r="L41" s="131"/>
      <c r="M41" s="131"/>
      <c r="N41" s="131"/>
    </row>
    <row r="42" spans="1:14" ht="15" customHeight="1">
      <c r="A42" s="131"/>
      <c r="B42" s="721" t="s">
        <v>52</v>
      </c>
      <c r="C42" s="721"/>
      <c r="D42" s="721"/>
      <c r="E42" s="721"/>
      <c r="F42" s="721"/>
      <c r="G42" s="721"/>
      <c r="H42" s="132"/>
      <c r="I42" s="132"/>
      <c r="J42" s="132"/>
      <c r="K42" s="131"/>
      <c r="L42" s="131"/>
      <c r="M42" s="131"/>
      <c r="N42" s="131"/>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D4:L4"/>
    <mergeCell ref="D7:F7"/>
    <mergeCell ref="K5:P5"/>
    <mergeCell ref="A11:B11"/>
    <mergeCell ref="P8:P9"/>
    <mergeCell ref="O8:O9"/>
    <mergeCell ref="N7:N9"/>
    <mergeCell ref="N6:P6"/>
    <mergeCell ref="O7:P7"/>
    <mergeCell ref="L7:M7"/>
    <mergeCell ref="A13:B13"/>
    <mergeCell ref="G7:G9"/>
    <mergeCell ref="A10:B10"/>
    <mergeCell ref="A5:B9"/>
    <mergeCell ref="C5:J5"/>
    <mergeCell ref="G6:J6"/>
    <mergeCell ref="C7:C9"/>
    <mergeCell ref="H7:J7"/>
    <mergeCell ref="D8:D9"/>
    <mergeCell ref="A12:B12"/>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86" t="s">
        <v>97</v>
      </c>
      <c r="B1" s="686"/>
      <c r="C1" s="686"/>
      <c r="D1" s="732" t="s">
        <v>354</v>
      </c>
      <c r="E1" s="732"/>
      <c r="F1" s="732"/>
      <c r="G1" s="732"/>
      <c r="H1" s="732"/>
      <c r="I1" s="732"/>
      <c r="J1" s="736" t="s">
        <v>355</v>
      </c>
      <c r="K1" s="737"/>
      <c r="L1" s="737"/>
    </row>
    <row r="2" spans="1:13" ht="15.75" customHeight="1">
      <c r="A2" s="738" t="s">
        <v>300</v>
      </c>
      <c r="B2" s="738"/>
      <c r="C2" s="738"/>
      <c r="D2" s="732"/>
      <c r="E2" s="732"/>
      <c r="F2" s="732"/>
      <c r="G2" s="732"/>
      <c r="H2" s="732"/>
      <c r="I2" s="732"/>
      <c r="J2" s="737" t="s">
        <v>301</v>
      </c>
      <c r="K2" s="737"/>
      <c r="L2" s="737"/>
      <c r="M2" s="133"/>
    </row>
    <row r="3" spans="1:13" ht="15.75" customHeight="1">
      <c r="A3" s="667" t="s">
        <v>252</v>
      </c>
      <c r="B3" s="667"/>
      <c r="C3" s="667"/>
      <c r="D3" s="732"/>
      <c r="E3" s="732"/>
      <c r="F3" s="732"/>
      <c r="G3" s="732"/>
      <c r="H3" s="732"/>
      <c r="I3" s="732"/>
      <c r="J3" s="736" t="s">
        <v>356</v>
      </c>
      <c r="K3" s="736"/>
      <c r="L3" s="736"/>
      <c r="M3" s="37"/>
    </row>
    <row r="4" spans="1:13" ht="15.75" customHeight="1">
      <c r="A4" s="735" t="s">
        <v>254</v>
      </c>
      <c r="B4" s="735"/>
      <c r="C4" s="735"/>
      <c r="D4" s="734"/>
      <c r="E4" s="734"/>
      <c r="F4" s="734"/>
      <c r="G4" s="734"/>
      <c r="H4" s="734"/>
      <c r="I4" s="734"/>
      <c r="J4" s="737" t="s">
        <v>302</v>
      </c>
      <c r="K4" s="737"/>
      <c r="L4" s="737"/>
      <c r="M4" s="133"/>
    </row>
    <row r="5" spans="1:13" ht="15.75">
      <c r="A5" s="134"/>
      <c r="B5" s="134"/>
      <c r="C5" s="34"/>
      <c r="D5" s="34"/>
      <c r="E5" s="34"/>
      <c r="F5" s="34"/>
      <c r="G5" s="34"/>
      <c r="H5" s="34"/>
      <c r="I5" s="34"/>
      <c r="J5" s="733" t="s">
        <v>8</v>
      </c>
      <c r="K5" s="733"/>
      <c r="L5" s="733"/>
      <c r="M5" s="133"/>
    </row>
    <row r="6" spans="1:14" ht="15.75">
      <c r="A6" s="741" t="s">
        <v>55</v>
      </c>
      <c r="B6" s="742"/>
      <c r="C6" s="691" t="s">
        <v>303</v>
      </c>
      <c r="D6" s="731" t="s">
        <v>304</v>
      </c>
      <c r="E6" s="731"/>
      <c r="F6" s="731"/>
      <c r="G6" s="731"/>
      <c r="H6" s="731"/>
      <c r="I6" s="731"/>
      <c r="J6" s="669" t="s">
        <v>95</v>
      </c>
      <c r="K6" s="669"/>
      <c r="L6" s="669"/>
      <c r="M6" s="729" t="s">
        <v>305</v>
      </c>
      <c r="N6" s="730" t="s">
        <v>306</v>
      </c>
    </row>
    <row r="7" spans="1:14" ht="15.75" customHeight="1">
      <c r="A7" s="743"/>
      <c r="B7" s="744"/>
      <c r="C7" s="691"/>
      <c r="D7" s="731" t="s">
        <v>7</v>
      </c>
      <c r="E7" s="731"/>
      <c r="F7" s="731"/>
      <c r="G7" s="731"/>
      <c r="H7" s="731"/>
      <c r="I7" s="731"/>
      <c r="J7" s="669"/>
      <c r="K7" s="669"/>
      <c r="L7" s="669"/>
      <c r="M7" s="729"/>
      <c r="N7" s="730"/>
    </row>
    <row r="8" spans="1:14" s="73" customFormat="1" ht="31.5" customHeight="1">
      <c r="A8" s="743"/>
      <c r="B8" s="744"/>
      <c r="C8" s="691"/>
      <c r="D8" s="669" t="s">
        <v>93</v>
      </c>
      <c r="E8" s="669" t="s">
        <v>94</v>
      </c>
      <c r="F8" s="669"/>
      <c r="G8" s="669"/>
      <c r="H8" s="669"/>
      <c r="I8" s="669"/>
      <c r="J8" s="669"/>
      <c r="K8" s="669"/>
      <c r="L8" s="669"/>
      <c r="M8" s="729"/>
      <c r="N8" s="730"/>
    </row>
    <row r="9" spans="1:14" s="73" customFormat="1" ht="15.75" customHeight="1">
      <c r="A9" s="743"/>
      <c r="B9" s="744"/>
      <c r="C9" s="691"/>
      <c r="D9" s="669"/>
      <c r="E9" s="669" t="s">
        <v>96</v>
      </c>
      <c r="F9" s="669" t="s">
        <v>7</v>
      </c>
      <c r="G9" s="669"/>
      <c r="H9" s="669"/>
      <c r="I9" s="669"/>
      <c r="J9" s="669" t="s">
        <v>7</v>
      </c>
      <c r="K9" s="669"/>
      <c r="L9" s="669"/>
      <c r="M9" s="729"/>
      <c r="N9" s="730"/>
    </row>
    <row r="10" spans="1:14" s="73" customFormat="1" ht="86.25" customHeight="1">
      <c r="A10" s="745"/>
      <c r="B10" s="746"/>
      <c r="C10" s="691"/>
      <c r="D10" s="669"/>
      <c r="E10" s="669"/>
      <c r="F10" s="104" t="s">
        <v>22</v>
      </c>
      <c r="G10" s="104" t="s">
        <v>24</v>
      </c>
      <c r="H10" s="104" t="s">
        <v>16</v>
      </c>
      <c r="I10" s="104" t="s">
        <v>23</v>
      </c>
      <c r="J10" s="104" t="s">
        <v>15</v>
      </c>
      <c r="K10" s="104" t="s">
        <v>20</v>
      </c>
      <c r="L10" s="104" t="s">
        <v>21</v>
      </c>
      <c r="M10" s="729"/>
      <c r="N10" s="730"/>
    </row>
    <row r="11" spans="1:32" ht="13.5" customHeight="1">
      <c r="A11" s="755" t="s">
        <v>5</v>
      </c>
      <c r="B11" s="756"/>
      <c r="C11" s="135">
        <v>1</v>
      </c>
      <c r="D11" s="135" t="s">
        <v>44</v>
      </c>
      <c r="E11" s="135" t="s">
        <v>47</v>
      </c>
      <c r="F11" s="135" t="s">
        <v>56</v>
      </c>
      <c r="G11" s="135" t="s">
        <v>57</v>
      </c>
      <c r="H11" s="135" t="s">
        <v>58</v>
      </c>
      <c r="I11" s="135" t="s">
        <v>59</v>
      </c>
      <c r="J11" s="135" t="s">
        <v>60</v>
      </c>
      <c r="K11" s="135" t="s">
        <v>61</v>
      </c>
      <c r="L11" s="135" t="s">
        <v>81</v>
      </c>
      <c r="M11" s="136"/>
      <c r="N11" s="137"/>
      <c r="AF11" s="33" t="s">
        <v>266</v>
      </c>
    </row>
    <row r="12" spans="1:14" ht="24" customHeight="1">
      <c r="A12" s="749" t="s">
        <v>297</v>
      </c>
      <c r="B12" s="750"/>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747" t="s">
        <v>253</v>
      </c>
      <c r="B13" s="748"/>
      <c r="C13" s="139">
        <v>59</v>
      </c>
      <c r="D13" s="139">
        <v>43</v>
      </c>
      <c r="E13" s="139">
        <v>0</v>
      </c>
      <c r="F13" s="139">
        <v>5</v>
      </c>
      <c r="G13" s="139">
        <v>2</v>
      </c>
      <c r="H13" s="139">
        <v>7</v>
      </c>
      <c r="I13" s="139">
        <v>2</v>
      </c>
      <c r="J13" s="139">
        <v>10</v>
      </c>
      <c r="K13" s="139">
        <v>44</v>
      </c>
      <c r="L13" s="139">
        <v>5</v>
      </c>
      <c r="M13" s="136"/>
      <c r="N13" s="137"/>
    </row>
    <row r="14" spans="1:37" s="52" customFormat="1" ht="16.5" customHeight="1">
      <c r="A14" s="753" t="s">
        <v>30</v>
      </c>
      <c r="B14" s="754"/>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78</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267</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269</v>
      </c>
    </row>
    <row r="18" spans="1:14" s="148" customFormat="1" ht="16.5" customHeight="1">
      <c r="A18" s="147" t="s">
        <v>44</v>
      </c>
      <c r="B18" s="68" t="s">
        <v>299</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47</v>
      </c>
      <c r="B19" s="68" t="s">
        <v>270</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56</v>
      </c>
      <c r="B20" s="68" t="s">
        <v>271</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57</v>
      </c>
      <c r="B21" s="68" t="s">
        <v>272</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274</v>
      </c>
      <c r="AK21" s="148" t="s">
        <v>275</v>
      </c>
      <c r="AL21" s="148" t="s">
        <v>276</v>
      </c>
      <c r="AM21" s="63" t="s">
        <v>277</v>
      </c>
    </row>
    <row r="22" spans="1:39" s="148" customFormat="1" ht="16.5" customHeight="1">
      <c r="A22" s="147" t="s">
        <v>58</v>
      </c>
      <c r="B22" s="68" t="s">
        <v>273</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279</v>
      </c>
    </row>
    <row r="23" spans="1:14" s="148" customFormat="1" ht="16.5" customHeight="1">
      <c r="A23" s="147" t="s">
        <v>59</v>
      </c>
      <c r="B23" s="68" t="s">
        <v>278</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60</v>
      </c>
      <c r="B24" s="68" t="s">
        <v>280</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274</v>
      </c>
    </row>
    <row r="25" spans="1:36" s="148" customFormat="1" ht="16.5" customHeight="1">
      <c r="A25" s="147" t="s">
        <v>61</v>
      </c>
      <c r="B25" s="68" t="s">
        <v>281</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283</v>
      </c>
    </row>
    <row r="26" spans="1:44" s="70" customFormat="1" ht="16.5" customHeight="1">
      <c r="A26" s="151" t="s">
        <v>81</v>
      </c>
      <c r="B26" s="68" t="s">
        <v>282</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82</v>
      </c>
      <c r="B27" s="68" t="s">
        <v>284</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286</v>
      </c>
      <c r="AI28" s="157">
        <f>82/88</f>
        <v>0.9318181818181818</v>
      </c>
    </row>
    <row r="29" spans="1:13" ht="16.5" customHeight="1">
      <c r="A29" s="680" t="s">
        <v>357</v>
      </c>
      <c r="B29" s="757"/>
      <c r="C29" s="757"/>
      <c r="D29" s="757"/>
      <c r="E29" s="158"/>
      <c r="F29" s="158"/>
      <c r="G29" s="158"/>
      <c r="H29" s="739" t="s">
        <v>307</v>
      </c>
      <c r="I29" s="739"/>
      <c r="J29" s="739"/>
      <c r="K29" s="739"/>
      <c r="L29" s="739"/>
      <c r="M29" s="159"/>
    </row>
    <row r="30" spans="1:12" ht="18.75">
      <c r="A30" s="757"/>
      <c r="B30" s="757"/>
      <c r="C30" s="757"/>
      <c r="D30" s="757"/>
      <c r="E30" s="158"/>
      <c r="F30" s="158"/>
      <c r="G30" s="158"/>
      <c r="H30" s="740" t="s">
        <v>308</v>
      </c>
      <c r="I30" s="740"/>
      <c r="J30" s="740"/>
      <c r="K30" s="740"/>
      <c r="L30" s="740"/>
    </row>
    <row r="31" spans="1:12" s="32" customFormat="1" ht="16.5" customHeight="1">
      <c r="A31" s="656"/>
      <c r="B31" s="656"/>
      <c r="C31" s="656"/>
      <c r="D31" s="656"/>
      <c r="E31" s="160"/>
      <c r="F31" s="160"/>
      <c r="G31" s="160"/>
      <c r="H31" s="657"/>
      <c r="I31" s="657"/>
      <c r="J31" s="657"/>
      <c r="K31" s="657"/>
      <c r="L31" s="657"/>
    </row>
    <row r="32" spans="1:12" ht="18.75">
      <c r="A32" s="89"/>
      <c r="B32" s="656" t="s">
        <v>289</v>
      </c>
      <c r="C32" s="656"/>
      <c r="D32" s="656"/>
      <c r="E32" s="160"/>
      <c r="F32" s="160"/>
      <c r="G32" s="160"/>
      <c r="H32" s="160"/>
      <c r="I32" s="758" t="s">
        <v>289</v>
      </c>
      <c r="J32" s="758"/>
      <c r="K32" s="758"/>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687" t="s">
        <v>242</v>
      </c>
      <c r="B37" s="687"/>
      <c r="C37" s="687"/>
      <c r="D37" s="687"/>
      <c r="E37" s="91"/>
      <c r="F37" s="91"/>
      <c r="G37" s="91"/>
      <c r="H37" s="688" t="s">
        <v>242</v>
      </c>
      <c r="I37" s="688"/>
      <c r="J37" s="688"/>
      <c r="K37" s="688"/>
      <c r="L37" s="688"/>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752" t="s">
        <v>48</v>
      </c>
      <c r="C40" s="752"/>
      <c r="D40" s="752"/>
      <c r="E40" s="752"/>
      <c r="F40" s="752"/>
      <c r="G40" s="752"/>
      <c r="H40" s="752"/>
      <c r="I40" s="752"/>
      <c r="J40" s="752"/>
      <c r="K40" s="752"/>
      <c r="L40" s="752"/>
    </row>
    <row r="41" spans="1:12" ht="16.5" customHeight="1">
      <c r="A41" s="165"/>
      <c r="B41" s="751" t="s">
        <v>50</v>
      </c>
      <c r="C41" s="751"/>
      <c r="D41" s="751"/>
      <c r="E41" s="751"/>
      <c r="F41" s="751"/>
      <c r="G41" s="751"/>
      <c r="H41" s="751"/>
      <c r="I41" s="751"/>
      <c r="J41" s="751"/>
      <c r="K41" s="751"/>
      <c r="L41" s="751"/>
    </row>
    <row r="42" ht="15.75">
      <c r="B42" s="38" t="s">
        <v>49</v>
      </c>
    </row>
  </sheetData>
  <sheetProtection/>
  <mergeCells count="38">
    <mergeCell ref="B41:L41"/>
    <mergeCell ref="B40:L40"/>
    <mergeCell ref="A14:B14"/>
    <mergeCell ref="A11:B11"/>
    <mergeCell ref="A29:D30"/>
    <mergeCell ref="H37:L37"/>
    <mergeCell ref="A37:D37"/>
    <mergeCell ref="B32:D32"/>
    <mergeCell ref="I32:K32"/>
    <mergeCell ref="A31:D31"/>
    <mergeCell ref="H29:L29"/>
    <mergeCell ref="H30:L30"/>
    <mergeCell ref="H31:L31"/>
    <mergeCell ref="A6:B10"/>
    <mergeCell ref="A13:B13"/>
    <mergeCell ref="A12:B12"/>
    <mergeCell ref="J9:L9"/>
    <mergeCell ref="J6:L8"/>
    <mergeCell ref="A3:C3"/>
    <mergeCell ref="D1:I3"/>
    <mergeCell ref="J5:L5"/>
    <mergeCell ref="D4:I4"/>
    <mergeCell ref="A4:C4"/>
    <mergeCell ref="J1:L1"/>
    <mergeCell ref="J2:L2"/>
    <mergeCell ref="J3:L3"/>
    <mergeCell ref="J4:L4"/>
    <mergeCell ref="A2:C2"/>
    <mergeCell ref="A1:C1"/>
    <mergeCell ref="M6:M10"/>
    <mergeCell ref="N6:N10"/>
    <mergeCell ref="C6:C10"/>
    <mergeCell ref="E9:E10"/>
    <mergeCell ref="D6:I6"/>
    <mergeCell ref="E8:I8"/>
    <mergeCell ref="D8:D10"/>
    <mergeCell ref="F9:I9"/>
    <mergeCell ref="D7:I7"/>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75" t="s">
        <v>130</v>
      </c>
      <c r="B1" s="775"/>
      <c r="C1" s="775"/>
      <c r="D1" s="770" t="s">
        <v>311</v>
      </c>
      <c r="E1" s="771"/>
      <c r="F1" s="771"/>
      <c r="G1" s="771"/>
      <c r="H1" s="771"/>
      <c r="I1" s="771"/>
      <c r="J1" s="771"/>
      <c r="K1" s="771"/>
      <c r="L1" s="771"/>
      <c r="M1" s="771"/>
      <c r="N1" s="771"/>
      <c r="O1" s="212"/>
      <c r="P1" s="169" t="s">
        <v>361</v>
      </c>
      <c r="Q1" s="168"/>
      <c r="R1" s="168"/>
      <c r="S1" s="168"/>
      <c r="T1" s="168"/>
      <c r="U1" s="212"/>
    </row>
    <row r="2" spans="1:21" ht="16.5" customHeight="1">
      <c r="A2" s="772" t="s">
        <v>312</v>
      </c>
      <c r="B2" s="772"/>
      <c r="C2" s="772"/>
      <c r="D2" s="771"/>
      <c r="E2" s="771"/>
      <c r="F2" s="771"/>
      <c r="G2" s="771"/>
      <c r="H2" s="771"/>
      <c r="I2" s="771"/>
      <c r="J2" s="771"/>
      <c r="K2" s="771"/>
      <c r="L2" s="771"/>
      <c r="M2" s="771"/>
      <c r="N2" s="771"/>
      <c r="O2" s="213"/>
      <c r="P2" s="763" t="s">
        <v>313</v>
      </c>
      <c r="Q2" s="763"/>
      <c r="R2" s="763"/>
      <c r="S2" s="763"/>
      <c r="T2" s="763"/>
      <c r="U2" s="213"/>
    </row>
    <row r="3" spans="1:21" ht="16.5" customHeight="1">
      <c r="A3" s="791" t="s">
        <v>314</v>
      </c>
      <c r="B3" s="791"/>
      <c r="C3" s="791"/>
      <c r="D3" s="776" t="s">
        <v>315</v>
      </c>
      <c r="E3" s="776"/>
      <c r="F3" s="776"/>
      <c r="G3" s="776"/>
      <c r="H3" s="776"/>
      <c r="I3" s="776"/>
      <c r="J3" s="776"/>
      <c r="K3" s="776"/>
      <c r="L3" s="776"/>
      <c r="M3" s="776"/>
      <c r="N3" s="776"/>
      <c r="O3" s="213"/>
      <c r="P3" s="173" t="s">
        <v>360</v>
      </c>
      <c r="Q3" s="213"/>
      <c r="R3" s="213"/>
      <c r="S3" s="213"/>
      <c r="T3" s="213"/>
      <c r="U3" s="213"/>
    </row>
    <row r="4" spans="1:21" ht="16.5" customHeight="1">
      <c r="A4" s="777" t="s">
        <v>254</v>
      </c>
      <c r="B4" s="777"/>
      <c r="C4" s="777"/>
      <c r="D4" s="798"/>
      <c r="E4" s="798"/>
      <c r="F4" s="798"/>
      <c r="G4" s="798"/>
      <c r="H4" s="798"/>
      <c r="I4" s="798"/>
      <c r="J4" s="798"/>
      <c r="K4" s="798"/>
      <c r="L4" s="798"/>
      <c r="M4" s="798"/>
      <c r="N4" s="798"/>
      <c r="O4" s="213"/>
      <c r="P4" s="172" t="s">
        <v>293</v>
      </c>
      <c r="Q4" s="213"/>
      <c r="R4" s="213"/>
      <c r="S4" s="213"/>
      <c r="T4" s="213"/>
      <c r="U4" s="213"/>
    </row>
    <row r="5" spans="12:21" ht="16.5" customHeight="1">
      <c r="L5" s="214"/>
      <c r="M5" s="214"/>
      <c r="N5" s="214"/>
      <c r="O5" s="176"/>
      <c r="P5" s="175" t="s">
        <v>316</v>
      </c>
      <c r="Q5" s="176"/>
      <c r="R5" s="176"/>
      <c r="S5" s="176"/>
      <c r="T5" s="176"/>
      <c r="U5" s="172"/>
    </row>
    <row r="6" spans="1:21" s="217" customFormat="1" ht="15.75" customHeight="1">
      <c r="A6" s="764" t="s">
        <v>55</v>
      </c>
      <c r="B6" s="765"/>
      <c r="C6" s="759" t="s">
        <v>131</v>
      </c>
      <c r="D6" s="773" t="s">
        <v>132</v>
      </c>
      <c r="E6" s="774"/>
      <c r="F6" s="774"/>
      <c r="G6" s="774"/>
      <c r="H6" s="774"/>
      <c r="I6" s="774"/>
      <c r="J6" s="774"/>
      <c r="K6" s="774"/>
      <c r="L6" s="774"/>
      <c r="M6" s="774"/>
      <c r="N6" s="774"/>
      <c r="O6" s="774"/>
      <c r="P6" s="774"/>
      <c r="Q6" s="774"/>
      <c r="R6" s="774"/>
      <c r="S6" s="774"/>
      <c r="T6" s="759" t="s">
        <v>133</v>
      </c>
      <c r="U6" s="216"/>
    </row>
    <row r="7" spans="1:20" s="218" customFormat="1" ht="12.75" customHeight="1">
      <c r="A7" s="766"/>
      <c r="B7" s="767"/>
      <c r="C7" s="759"/>
      <c r="D7" s="795" t="s">
        <v>128</v>
      </c>
      <c r="E7" s="774" t="s">
        <v>7</v>
      </c>
      <c r="F7" s="774"/>
      <c r="G7" s="774"/>
      <c r="H7" s="774"/>
      <c r="I7" s="774"/>
      <c r="J7" s="774"/>
      <c r="K7" s="774"/>
      <c r="L7" s="774"/>
      <c r="M7" s="774"/>
      <c r="N7" s="774"/>
      <c r="O7" s="774"/>
      <c r="P7" s="774"/>
      <c r="Q7" s="774"/>
      <c r="R7" s="774"/>
      <c r="S7" s="774"/>
      <c r="T7" s="759"/>
    </row>
    <row r="8" spans="1:21" s="218" customFormat="1" ht="43.5" customHeight="1">
      <c r="A8" s="766"/>
      <c r="B8" s="767"/>
      <c r="C8" s="759"/>
      <c r="D8" s="796"/>
      <c r="E8" s="762" t="s">
        <v>134</v>
      </c>
      <c r="F8" s="759"/>
      <c r="G8" s="759"/>
      <c r="H8" s="759" t="s">
        <v>135</v>
      </c>
      <c r="I8" s="759"/>
      <c r="J8" s="759"/>
      <c r="K8" s="759" t="s">
        <v>136</v>
      </c>
      <c r="L8" s="759"/>
      <c r="M8" s="759" t="s">
        <v>137</v>
      </c>
      <c r="N8" s="759"/>
      <c r="O8" s="759"/>
      <c r="P8" s="759" t="s">
        <v>138</v>
      </c>
      <c r="Q8" s="759" t="s">
        <v>139</v>
      </c>
      <c r="R8" s="759" t="s">
        <v>140</v>
      </c>
      <c r="S8" s="778" t="s">
        <v>141</v>
      </c>
      <c r="T8" s="759"/>
      <c r="U8" s="788" t="s">
        <v>317</v>
      </c>
    </row>
    <row r="9" spans="1:21" s="218" customFormat="1" ht="44.25" customHeight="1">
      <c r="A9" s="768"/>
      <c r="B9" s="769"/>
      <c r="C9" s="759"/>
      <c r="D9" s="797"/>
      <c r="E9" s="219" t="s">
        <v>142</v>
      </c>
      <c r="F9" s="215" t="s">
        <v>143</v>
      </c>
      <c r="G9" s="215" t="s">
        <v>318</v>
      </c>
      <c r="H9" s="215" t="s">
        <v>144</v>
      </c>
      <c r="I9" s="215" t="s">
        <v>145</v>
      </c>
      <c r="J9" s="215" t="s">
        <v>146</v>
      </c>
      <c r="K9" s="215" t="s">
        <v>143</v>
      </c>
      <c r="L9" s="215" t="s">
        <v>147</v>
      </c>
      <c r="M9" s="215" t="s">
        <v>148</v>
      </c>
      <c r="N9" s="215" t="s">
        <v>149</v>
      </c>
      <c r="O9" s="215" t="s">
        <v>319</v>
      </c>
      <c r="P9" s="759"/>
      <c r="Q9" s="759"/>
      <c r="R9" s="759"/>
      <c r="S9" s="778"/>
      <c r="T9" s="759"/>
      <c r="U9" s="789"/>
    </row>
    <row r="10" spans="1:21" s="222" customFormat="1" ht="15.75" customHeight="1">
      <c r="A10" s="792" t="s">
        <v>6</v>
      </c>
      <c r="B10" s="793"/>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789"/>
    </row>
    <row r="11" spans="1:21" s="222" customFormat="1" ht="15.75" customHeight="1">
      <c r="A11" s="760" t="s">
        <v>297</v>
      </c>
      <c r="B11" s="761"/>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790"/>
    </row>
    <row r="12" spans="1:21" s="222" customFormat="1" ht="15.75" customHeight="1">
      <c r="A12" s="779" t="s">
        <v>298</v>
      </c>
      <c r="B12" s="780"/>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85" t="s">
        <v>30</v>
      </c>
      <c r="B13" s="786"/>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78</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267</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299</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47</v>
      </c>
      <c r="B18" s="68" t="s">
        <v>270</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56</v>
      </c>
      <c r="B19" s="68" t="s">
        <v>271</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57</v>
      </c>
      <c r="B20" s="68" t="s">
        <v>272</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58</v>
      </c>
      <c r="B21" s="68" t="s">
        <v>273</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59</v>
      </c>
      <c r="B22" s="68" t="s">
        <v>278</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60</v>
      </c>
      <c r="B23" s="68" t="s">
        <v>280</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61</v>
      </c>
      <c r="B24" s="68" t="s">
        <v>281</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81</v>
      </c>
      <c r="B25" s="68" t="s">
        <v>282</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82</v>
      </c>
      <c r="B26" s="68" t="s">
        <v>284</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94" t="s">
        <v>285</v>
      </c>
      <c r="C28" s="794"/>
      <c r="D28" s="794"/>
      <c r="E28" s="794"/>
      <c r="F28" s="181"/>
      <c r="G28" s="181"/>
      <c r="H28" s="181"/>
      <c r="I28" s="181"/>
      <c r="J28" s="181"/>
      <c r="K28" s="181" t="s">
        <v>150</v>
      </c>
      <c r="L28" s="182"/>
      <c r="M28" s="799" t="s">
        <v>320</v>
      </c>
      <c r="N28" s="799"/>
      <c r="O28" s="799"/>
      <c r="P28" s="799"/>
      <c r="Q28" s="799"/>
      <c r="R28" s="799"/>
      <c r="S28" s="799"/>
      <c r="T28" s="799"/>
    </row>
    <row r="29" spans="1:20" s="233" customFormat="1" ht="18.75" customHeight="1">
      <c r="A29" s="232"/>
      <c r="B29" s="784" t="s">
        <v>151</v>
      </c>
      <c r="C29" s="784"/>
      <c r="D29" s="784"/>
      <c r="E29" s="234"/>
      <c r="F29" s="183"/>
      <c r="G29" s="183"/>
      <c r="H29" s="183"/>
      <c r="I29" s="183"/>
      <c r="J29" s="183"/>
      <c r="K29" s="183"/>
      <c r="L29" s="182"/>
      <c r="M29" s="787" t="s">
        <v>309</v>
      </c>
      <c r="N29" s="787"/>
      <c r="O29" s="787"/>
      <c r="P29" s="787"/>
      <c r="Q29" s="787"/>
      <c r="R29" s="787"/>
      <c r="S29" s="787"/>
      <c r="T29" s="787"/>
    </row>
    <row r="30" spans="1:20" s="233" customFormat="1" ht="18.75">
      <c r="A30" s="184"/>
      <c r="B30" s="781"/>
      <c r="C30" s="781"/>
      <c r="D30" s="781"/>
      <c r="E30" s="186"/>
      <c r="F30" s="186"/>
      <c r="G30" s="186"/>
      <c r="H30" s="186"/>
      <c r="I30" s="186"/>
      <c r="J30" s="186"/>
      <c r="K30" s="186"/>
      <c r="L30" s="186"/>
      <c r="M30" s="782"/>
      <c r="N30" s="782"/>
      <c r="O30" s="782"/>
      <c r="P30" s="782"/>
      <c r="Q30" s="782"/>
      <c r="R30" s="782"/>
      <c r="S30" s="782"/>
      <c r="T30" s="782"/>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153</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154</v>
      </c>
      <c r="C34" s="186"/>
      <c r="D34" s="186"/>
      <c r="E34" s="186"/>
      <c r="F34" s="186"/>
      <c r="G34" s="186"/>
      <c r="H34" s="186"/>
      <c r="I34" s="186"/>
      <c r="J34" s="186"/>
      <c r="K34" s="186"/>
      <c r="L34" s="186"/>
      <c r="M34" s="186"/>
      <c r="N34" s="186"/>
      <c r="O34" s="186"/>
      <c r="P34" s="186"/>
      <c r="Q34" s="186"/>
      <c r="R34" s="186"/>
      <c r="S34" s="186"/>
      <c r="T34" s="186"/>
    </row>
    <row r="35" spans="2:20" ht="18.75" hidden="1">
      <c r="B35" s="236" t="s">
        <v>155</v>
      </c>
      <c r="C35" s="186"/>
      <c r="D35" s="186"/>
      <c r="E35" s="186"/>
      <c r="F35" s="186"/>
      <c r="G35" s="186"/>
      <c r="H35" s="186"/>
      <c r="I35" s="186"/>
      <c r="J35" s="186"/>
      <c r="K35" s="186"/>
      <c r="L35" s="186"/>
      <c r="M35" s="186"/>
      <c r="N35" s="186"/>
      <c r="O35" s="186"/>
      <c r="P35" s="186"/>
      <c r="Q35" s="186"/>
      <c r="R35" s="186"/>
      <c r="S35" s="186"/>
      <c r="T35" s="186"/>
    </row>
    <row r="36" spans="2:20" s="211" customFormat="1" ht="18.75">
      <c r="B36" s="783" t="s">
        <v>289</v>
      </c>
      <c r="C36" s="783"/>
      <c r="D36" s="783"/>
      <c r="E36" s="236"/>
      <c r="F36" s="236"/>
      <c r="G36" s="236"/>
      <c r="H36" s="236"/>
      <c r="I36" s="236"/>
      <c r="J36" s="236"/>
      <c r="K36" s="236"/>
      <c r="L36" s="236"/>
      <c r="M36" s="236"/>
      <c r="N36" s="783" t="s">
        <v>289</v>
      </c>
      <c r="O36" s="783"/>
      <c r="P36" s="783"/>
      <c r="Q36" s="783"/>
      <c r="R36" s="783"/>
      <c r="S36" s="783"/>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687" t="s">
        <v>242</v>
      </c>
      <c r="C38" s="687"/>
      <c r="D38" s="687"/>
      <c r="E38" s="210"/>
      <c r="F38" s="210"/>
      <c r="G38" s="210"/>
      <c r="H38" s="210"/>
      <c r="I38" s="182"/>
      <c r="J38" s="182"/>
      <c r="K38" s="182"/>
      <c r="L38" s="182"/>
      <c r="M38" s="688" t="s">
        <v>243</v>
      </c>
      <c r="N38" s="688"/>
      <c r="O38" s="688"/>
      <c r="P38" s="688"/>
      <c r="Q38" s="688"/>
      <c r="R38" s="688"/>
      <c r="S38" s="688"/>
      <c r="T38" s="688"/>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807" t="s">
        <v>156</v>
      </c>
      <c r="B1" s="807"/>
      <c r="C1" s="807"/>
      <c r="D1" s="238"/>
      <c r="E1" s="812" t="s">
        <v>157</v>
      </c>
      <c r="F1" s="812"/>
      <c r="G1" s="812"/>
      <c r="H1" s="812"/>
      <c r="I1" s="812"/>
      <c r="J1" s="812"/>
      <c r="K1" s="812"/>
      <c r="L1" s="812"/>
      <c r="M1" s="812"/>
      <c r="N1" s="812"/>
      <c r="O1" s="191"/>
      <c r="P1" s="803" t="s">
        <v>359</v>
      </c>
      <c r="Q1" s="803"/>
      <c r="R1" s="803"/>
      <c r="S1" s="803"/>
      <c r="T1" s="803"/>
    </row>
    <row r="2" spans="1:20" ht="15.75" customHeight="1">
      <c r="A2" s="808" t="s">
        <v>321</v>
      </c>
      <c r="B2" s="808"/>
      <c r="C2" s="808"/>
      <c r="D2" s="808"/>
      <c r="E2" s="810" t="s">
        <v>158</v>
      </c>
      <c r="F2" s="810"/>
      <c r="G2" s="810"/>
      <c r="H2" s="810"/>
      <c r="I2" s="810"/>
      <c r="J2" s="810"/>
      <c r="K2" s="810"/>
      <c r="L2" s="810"/>
      <c r="M2" s="810"/>
      <c r="N2" s="810"/>
      <c r="O2" s="194"/>
      <c r="P2" s="804" t="s">
        <v>301</v>
      </c>
      <c r="Q2" s="804"/>
      <c r="R2" s="804"/>
      <c r="S2" s="804"/>
      <c r="T2" s="804"/>
    </row>
    <row r="3" spans="1:20" ht="17.25">
      <c r="A3" s="808" t="s">
        <v>252</v>
      </c>
      <c r="B3" s="808"/>
      <c r="C3" s="808"/>
      <c r="D3" s="239"/>
      <c r="E3" s="813" t="s">
        <v>253</v>
      </c>
      <c r="F3" s="813"/>
      <c r="G3" s="813"/>
      <c r="H3" s="813"/>
      <c r="I3" s="813"/>
      <c r="J3" s="813"/>
      <c r="K3" s="813"/>
      <c r="L3" s="813"/>
      <c r="M3" s="813"/>
      <c r="N3" s="813"/>
      <c r="O3" s="194"/>
      <c r="P3" s="805" t="s">
        <v>360</v>
      </c>
      <c r="Q3" s="805"/>
      <c r="R3" s="805"/>
      <c r="S3" s="805"/>
      <c r="T3" s="805"/>
    </row>
    <row r="4" spans="1:20" ht="18.75" customHeight="1">
      <c r="A4" s="809" t="s">
        <v>254</v>
      </c>
      <c r="B4" s="809"/>
      <c r="C4" s="809"/>
      <c r="D4" s="811"/>
      <c r="E4" s="811"/>
      <c r="F4" s="811"/>
      <c r="G4" s="811"/>
      <c r="H4" s="811"/>
      <c r="I4" s="811"/>
      <c r="J4" s="811"/>
      <c r="K4" s="811"/>
      <c r="L4" s="811"/>
      <c r="M4" s="811"/>
      <c r="N4" s="811"/>
      <c r="O4" s="195"/>
      <c r="P4" s="804" t="s">
        <v>293</v>
      </c>
      <c r="Q4" s="805"/>
      <c r="R4" s="805"/>
      <c r="S4" s="805"/>
      <c r="T4" s="805"/>
    </row>
    <row r="5" spans="1:23" ht="15">
      <c r="A5" s="208"/>
      <c r="B5" s="208"/>
      <c r="C5" s="240"/>
      <c r="D5" s="240"/>
      <c r="E5" s="208"/>
      <c r="F5" s="208"/>
      <c r="G5" s="208"/>
      <c r="H5" s="208"/>
      <c r="I5" s="208"/>
      <c r="J5" s="208"/>
      <c r="K5" s="208"/>
      <c r="L5" s="208"/>
      <c r="P5" s="823" t="s">
        <v>316</v>
      </c>
      <c r="Q5" s="823"/>
      <c r="R5" s="823"/>
      <c r="S5" s="823"/>
      <c r="T5" s="823"/>
      <c r="U5" s="241"/>
      <c r="V5" s="241"/>
      <c r="W5" s="241"/>
    </row>
    <row r="6" spans="1:23" ht="29.25" customHeight="1">
      <c r="A6" s="764" t="s">
        <v>55</v>
      </c>
      <c r="B6" s="840"/>
      <c r="C6" s="835" t="s">
        <v>2</v>
      </c>
      <c r="D6" s="824" t="s">
        <v>159</v>
      </c>
      <c r="E6" s="825"/>
      <c r="F6" s="825"/>
      <c r="G6" s="825"/>
      <c r="H6" s="825"/>
      <c r="I6" s="825"/>
      <c r="J6" s="826"/>
      <c r="K6" s="829" t="s">
        <v>160</v>
      </c>
      <c r="L6" s="830"/>
      <c r="M6" s="830"/>
      <c r="N6" s="830"/>
      <c r="O6" s="830"/>
      <c r="P6" s="830"/>
      <c r="Q6" s="830"/>
      <c r="R6" s="830"/>
      <c r="S6" s="830"/>
      <c r="T6" s="831"/>
      <c r="U6" s="242"/>
      <c r="V6" s="243"/>
      <c r="W6" s="243"/>
    </row>
    <row r="7" spans="1:20" ht="19.5" customHeight="1">
      <c r="A7" s="766"/>
      <c r="B7" s="841"/>
      <c r="C7" s="836"/>
      <c r="D7" s="825" t="s">
        <v>7</v>
      </c>
      <c r="E7" s="825"/>
      <c r="F7" s="825"/>
      <c r="G7" s="825"/>
      <c r="H7" s="825"/>
      <c r="I7" s="825"/>
      <c r="J7" s="826"/>
      <c r="K7" s="832"/>
      <c r="L7" s="833"/>
      <c r="M7" s="833"/>
      <c r="N7" s="833"/>
      <c r="O7" s="833"/>
      <c r="P7" s="833"/>
      <c r="Q7" s="833"/>
      <c r="R7" s="833"/>
      <c r="S7" s="833"/>
      <c r="T7" s="834"/>
    </row>
    <row r="8" spans="1:20" ht="33" customHeight="1">
      <c r="A8" s="766"/>
      <c r="B8" s="841"/>
      <c r="C8" s="836"/>
      <c r="D8" s="816" t="s">
        <v>161</v>
      </c>
      <c r="E8" s="817"/>
      <c r="F8" s="800" t="s">
        <v>162</v>
      </c>
      <c r="G8" s="817"/>
      <c r="H8" s="800" t="s">
        <v>163</v>
      </c>
      <c r="I8" s="817"/>
      <c r="J8" s="800" t="s">
        <v>164</v>
      </c>
      <c r="K8" s="802" t="s">
        <v>165</v>
      </c>
      <c r="L8" s="802"/>
      <c r="M8" s="802"/>
      <c r="N8" s="802" t="s">
        <v>166</v>
      </c>
      <c r="O8" s="802"/>
      <c r="P8" s="802"/>
      <c r="Q8" s="800" t="s">
        <v>167</v>
      </c>
      <c r="R8" s="801" t="s">
        <v>168</v>
      </c>
      <c r="S8" s="801" t="s">
        <v>169</v>
      </c>
      <c r="T8" s="800" t="s">
        <v>170</v>
      </c>
    </row>
    <row r="9" spans="1:20" ht="18.75" customHeight="1">
      <c r="A9" s="766"/>
      <c r="B9" s="841"/>
      <c r="C9" s="836"/>
      <c r="D9" s="816" t="s">
        <v>171</v>
      </c>
      <c r="E9" s="800" t="s">
        <v>172</v>
      </c>
      <c r="F9" s="800" t="s">
        <v>171</v>
      </c>
      <c r="G9" s="800" t="s">
        <v>172</v>
      </c>
      <c r="H9" s="800" t="s">
        <v>171</v>
      </c>
      <c r="I9" s="800" t="s">
        <v>173</v>
      </c>
      <c r="J9" s="800"/>
      <c r="K9" s="802"/>
      <c r="L9" s="802"/>
      <c r="M9" s="802"/>
      <c r="N9" s="802"/>
      <c r="O9" s="802"/>
      <c r="P9" s="802"/>
      <c r="Q9" s="800"/>
      <c r="R9" s="801"/>
      <c r="S9" s="801"/>
      <c r="T9" s="800"/>
    </row>
    <row r="10" spans="1:20" ht="23.25" customHeight="1">
      <c r="A10" s="768"/>
      <c r="B10" s="842"/>
      <c r="C10" s="837"/>
      <c r="D10" s="816"/>
      <c r="E10" s="800"/>
      <c r="F10" s="800"/>
      <c r="G10" s="800"/>
      <c r="H10" s="800"/>
      <c r="I10" s="800"/>
      <c r="J10" s="800"/>
      <c r="K10" s="244" t="s">
        <v>174</v>
      </c>
      <c r="L10" s="244" t="s">
        <v>149</v>
      </c>
      <c r="M10" s="244" t="s">
        <v>175</v>
      </c>
      <c r="N10" s="244" t="s">
        <v>174</v>
      </c>
      <c r="O10" s="244" t="s">
        <v>176</v>
      </c>
      <c r="P10" s="244" t="s">
        <v>177</v>
      </c>
      <c r="Q10" s="800"/>
      <c r="R10" s="801"/>
      <c r="S10" s="801"/>
      <c r="T10" s="800"/>
    </row>
    <row r="11" spans="1:32" s="201" customFormat="1" ht="17.25" customHeight="1">
      <c r="A11" s="838" t="s">
        <v>6</v>
      </c>
      <c r="B11" s="839"/>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827" t="s">
        <v>322</v>
      </c>
      <c r="B12" s="828"/>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814" t="s">
        <v>298</v>
      </c>
      <c r="B13" s="815"/>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822" t="s">
        <v>178</v>
      </c>
      <c r="B14" s="816"/>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78</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267</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299</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270</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271</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272</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273</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278</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280</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281</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282</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284</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286</v>
      </c>
      <c r="AI28" s="190">
        <f>82/88</f>
        <v>0.9318181818181818</v>
      </c>
    </row>
    <row r="29" spans="1:20" ht="15.75" customHeight="1">
      <c r="A29" s="202"/>
      <c r="B29" s="819" t="s">
        <v>310</v>
      </c>
      <c r="C29" s="819"/>
      <c r="D29" s="819"/>
      <c r="E29" s="819"/>
      <c r="F29" s="258"/>
      <c r="G29" s="258"/>
      <c r="H29" s="258"/>
      <c r="I29" s="258"/>
      <c r="J29" s="258"/>
      <c r="K29" s="258"/>
      <c r="L29" s="206"/>
      <c r="M29" s="818" t="s">
        <v>323</v>
      </c>
      <c r="N29" s="818"/>
      <c r="O29" s="818"/>
      <c r="P29" s="818"/>
      <c r="Q29" s="818"/>
      <c r="R29" s="818"/>
      <c r="S29" s="818"/>
      <c r="T29" s="818"/>
    </row>
    <row r="30" spans="1:20" ht="18.75" customHeight="1">
      <c r="A30" s="202"/>
      <c r="B30" s="820" t="s">
        <v>151</v>
      </c>
      <c r="C30" s="820"/>
      <c r="D30" s="820"/>
      <c r="E30" s="820"/>
      <c r="F30" s="205"/>
      <c r="G30" s="205"/>
      <c r="H30" s="205"/>
      <c r="I30" s="205"/>
      <c r="J30" s="205"/>
      <c r="K30" s="205"/>
      <c r="L30" s="206"/>
      <c r="M30" s="821" t="s">
        <v>152</v>
      </c>
      <c r="N30" s="821"/>
      <c r="O30" s="821"/>
      <c r="P30" s="821"/>
      <c r="Q30" s="821"/>
      <c r="R30" s="821"/>
      <c r="S30" s="821"/>
      <c r="T30" s="821"/>
    </row>
    <row r="31" spans="1:20" ht="18.75">
      <c r="A31" s="208"/>
      <c r="B31" s="781"/>
      <c r="C31" s="781"/>
      <c r="D31" s="781"/>
      <c r="E31" s="781"/>
      <c r="F31" s="209"/>
      <c r="G31" s="209"/>
      <c r="H31" s="209"/>
      <c r="I31" s="209"/>
      <c r="J31" s="209"/>
      <c r="K31" s="209"/>
      <c r="L31" s="209"/>
      <c r="M31" s="782"/>
      <c r="N31" s="782"/>
      <c r="O31" s="782"/>
      <c r="P31" s="782"/>
      <c r="Q31" s="782"/>
      <c r="R31" s="782"/>
      <c r="S31" s="782"/>
      <c r="T31" s="782"/>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806" t="s">
        <v>289</v>
      </c>
      <c r="C33" s="806"/>
      <c r="D33" s="806"/>
      <c r="E33" s="806"/>
      <c r="F33" s="806"/>
      <c r="G33" s="259"/>
      <c r="H33" s="259"/>
      <c r="I33" s="259"/>
      <c r="J33" s="259"/>
      <c r="K33" s="259"/>
      <c r="L33" s="259"/>
      <c r="M33" s="259"/>
      <c r="N33" s="806" t="s">
        <v>289</v>
      </c>
      <c r="O33" s="806"/>
      <c r="P33" s="806"/>
      <c r="Q33" s="806"/>
      <c r="R33" s="806"/>
      <c r="S33" s="806"/>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687" t="s">
        <v>242</v>
      </c>
      <c r="C35" s="687"/>
      <c r="D35" s="687"/>
      <c r="E35" s="687"/>
      <c r="F35" s="210"/>
      <c r="G35" s="210"/>
      <c r="H35" s="210"/>
      <c r="I35" s="182"/>
      <c r="J35" s="182"/>
      <c r="K35" s="182"/>
      <c r="L35" s="182"/>
      <c r="M35" s="688" t="s">
        <v>243</v>
      </c>
      <c r="N35" s="688"/>
      <c r="O35" s="688"/>
      <c r="P35" s="688"/>
      <c r="Q35" s="688"/>
      <c r="R35" s="688"/>
      <c r="S35" s="688"/>
      <c r="T35" s="688"/>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127</v>
      </c>
    </row>
    <row r="39" spans="2:8" s="262" customFormat="1" ht="15" hidden="1">
      <c r="B39" s="263" t="s">
        <v>179</v>
      </c>
      <c r="C39" s="263"/>
      <c r="D39" s="263"/>
      <c r="E39" s="263"/>
      <c r="F39" s="263"/>
      <c r="G39" s="263"/>
      <c r="H39" s="263"/>
    </row>
    <row r="40" spans="2:8" s="264" customFormat="1" ht="15" hidden="1">
      <c r="B40" s="263" t="s">
        <v>180</v>
      </c>
      <c r="C40" s="189"/>
      <c r="D40" s="189"/>
      <c r="E40" s="189"/>
      <c r="F40" s="189"/>
      <c r="G40" s="189"/>
      <c r="H40" s="189"/>
    </row>
    <row r="41" ht="12.75" hidden="1"/>
    <row r="42" ht="12.75" hidden="1"/>
    <row r="43" ht="12.75" hidden="1"/>
    <row r="44" ht="12.75" hidden="1"/>
    <row r="45" ht="12.75" hidden="1"/>
  </sheetData>
  <sheetProtection/>
  <mergeCells count="48">
    <mergeCell ref="C6:C10"/>
    <mergeCell ref="E9:E10"/>
    <mergeCell ref="A11:B11"/>
    <mergeCell ref="F9:F10"/>
    <mergeCell ref="A6:B10"/>
    <mergeCell ref="D9:D10"/>
    <mergeCell ref="D7:J7"/>
    <mergeCell ref="F8:G8"/>
    <mergeCell ref="H9:H10"/>
    <mergeCell ref="G9:G10"/>
    <mergeCell ref="H8:I8"/>
    <mergeCell ref="I9:I10"/>
    <mergeCell ref="A14:B14"/>
    <mergeCell ref="P5:T5"/>
    <mergeCell ref="D6:J6"/>
    <mergeCell ref="A12:B12"/>
    <mergeCell ref="N8:P9"/>
    <mergeCell ref="Q8:Q10"/>
    <mergeCell ref="R8:R10"/>
    <mergeCell ref="K6:T7"/>
    <mergeCell ref="A13:B13"/>
    <mergeCell ref="D8:E8"/>
    <mergeCell ref="M35:T35"/>
    <mergeCell ref="M29:T29"/>
    <mergeCell ref="B35:E35"/>
    <mergeCell ref="B29:E29"/>
    <mergeCell ref="B30:E30"/>
    <mergeCell ref="B31:E31"/>
    <mergeCell ref="M30:T30"/>
    <mergeCell ref="M31:T31"/>
    <mergeCell ref="B33:F33"/>
    <mergeCell ref="N33:S33"/>
    <mergeCell ref="A1:C1"/>
    <mergeCell ref="A3:C3"/>
    <mergeCell ref="A4:C4"/>
    <mergeCell ref="E2:N2"/>
    <mergeCell ref="A2:D2"/>
    <mergeCell ref="D4:N4"/>
    <mergeCell ref="E1:N1"/>
    <mergeCell ref="E3:N3"/>
    <mergeCell ref="T8:T10"/>
    <mergeCell ref="S8:S10"/>
    <mergeCell ref="K8:M9"/>
    <mergeCell ref="J8:J10"/>
    <mergeCell ref="P1:T1"/>
    <mergeCell ref="P2:T2"/>
    <mergeCell ref="P3:T3"/>
    <mergeCell ref="P4:T4"/>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849" t="s">
        <v>181</v>
      </c>
      <c r="B1" s="849"/>
      <c r="C1" s="849"/>
      <c r="D1" s="852" t="s">
        <v>362</v>
      </c>
      <c r="E1" s="852"/>
      <c r="F1" s="852"/>
      <c r="G1" s="852"/>
      <c r="H1" s="852"/>
      <c r="I1" s="852"/>
      <c r="J1" s="853" t="s">
        <v>363</v>
      </c>
      <c r="K1" s="854"/>
      <c r="L1" s="854"/>
    </row>
    <row r="2" spans="1:12" ht="34.5" customHeight="1">
      <c r="A2" s="855" t="s">
        <v>324</v>
      </c>
      <c r="B2" s="855"/>
      <c r="C2" s="855"/>
      <c r="D2" s="852"/>
      <c r="E2" s="852"/>
      <c r="F2" s="852"/>
      <c r="G2" s="852"/>
      <c r="H2" s="852"/>
      <c r="I2" s="852"/>
      <c r="J2" s="856" t="s">
        <v>364</v>
      </c>
      <c r="K2" s="857"/>
      <c r="L2" s="857"/>
    </row>
    <row r="3" spans="1:12" ht="15" customHeight="1">
      <c r="A3" s="265" t="s">
        <v>254</v>
      </c>
      <c r="B3" s="174"/>
      <c r="C3" s="858"/>
      <c r="D3" s="858"/>
      <c r="E3" s="858"/>
      <c r="F3" s="858"/>
      <c r="G3" s="858"/>
      <c r="H3" s="858"/>
      <c r="I3" s="858"/>
      <c r="J3" s="850"/>
      <c r="K3" s="851"/>
      <c r="L3" s="851"/>
    </row>
    <row r="4" spans="1:12" ht="15.75" customHeight="1">
      <c r="A4" s="266"/>
      <c r="B4" s="266"/>
      <c r="C4" s="267"/>
      <c r="D4" s="267"/>
      <c r="E4" s="170"/>
      <c r="F4" s="170"/>
      <c r="G4" s="170"/>
      <c r="H4" s="268"/>
      <c r="I4" s="268"/>
      <c r="J4" s="859" t="s">
        <v>182</v>
      </c>
      <c r="K4" s="859"/>
      <c r="L4" s="859"/>
    </row>
    <row r="5" spans="1:12" s="269" customFormat="1" ht="28.5" customHeight="1">
      <c r="A5" s="844" t="s">
        <v>55</v>
      </c>
      <c r="B5" s="844"/>
      <c r="C5" s="759" t="s">
        <v>31</v>
      </c>
      <c r="D5" s="759" t="s">
        <v>183</v>
      </c>
      <c r="E5" s="759"/>
      <c r="F5" s="759"/>
      <c r="G5" s="759"/>
      <c r="H5" s="759" t="s">
        <v>184</v>
      </c>
      <c r="I5" s="759"/>
      <c r="J5" s="759" t="s">
        <v>185</v>
      </c>
      <c r="K5" s="759"/>
      <c r="L5" s="759"/>
    </row>
    <row r="6" spans="1:13" s="269" customFormat="1" ht="80.25" customHeight="1">
      <c r="A6" s="844"/>
      <c r="B6" s="844"/>
      <c r="C6" s="759"/>
      <c r="D6" s="215" t="s">
        <v>186</v>
      </c>
      <c r="E6" s="215" t="s">
        <v>187</v>
      </c>
      <c r="F6" s="215" t="s">
        <v>325</v>
      </c>
      <c r="G6" s="215" t="s">
        <v>188</v>
      </c>
      <c r="H6" s="215" t="s">
        <v>189</v>
      </c>
      <c r="I6" s="215" t="s">
        <v>190</v>
      </c>
      <c r="J6" s="215" t="s">
        <v>191</v>
      </c>
      <c r="K6" s="215" t="s">
        <v>192</v>
      </c>
      <c r="L6" s="215" t="s">
        <v>193</v>
      </c>
      <c r="M6" s="270"/>
    </row>
    <row r="7" spans="1:12" s="271" customFormat="1" ht="16.5" customHeight="1">
      <c r="A7" s="860" t="s">
        <v>6</v>
      </c>
      <c r="B7" s="860"/>
      <c r="C7" s="221">
        <v>1</v>
      </c>
      <c r="D7" s="221">
        <v>2</v>
      </c>
      <c r="E7" s="221">
        <v>3</v>
      </c>
      <c r="F7" s="221">
        <v>4</v>
      </c>
      <c r="G7" s="221">
        <v>5</v>
      </c>
      <c r="H7" s="221">
        <v>6</v>
      </c>
      <c r="I7" s="221">
        <v>7</v>
      </c>
      <c r="J7" s="221">
        <v>8</v>
      </c>
      <c r="K7" s="221">
        <v>9</v>
      </c>
      <c r="L7" s="221">
        <v>10</v>
      </c>
    </row>
    <row r="8" spans="1:12" s="271" customFormat="1" ht="16.5" customHeight="1">
      <c r="A8" s="847" t="s">
        <v>322</v>
      </c>
      <c r="B8" s="848"/>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845" t="s">
        <v>298</v>
      </c>
      <c r="B9" s="846"/>
      <c r="C9" s="224">
        <v>9</v>
      </c>
      <c r="D9" s="224">
        <v>2</v>
      </c>
      <c r="E9" s="224">
        <v>2</v>
      </c>
      <c r="F9" s="224">
        <v>0</v>
      </c>
      <c r="G9" s="224">
        <v>5</v>
      </c>
      <c r="H9" s="224">
        <v>8</v>
      </c>
      <c r="I9" s="224">
        <v>0</v>
      </c>
      <c r="J9" s="224">
        <v>8</v>
      </c>
      <c r="K9" s="224">
        <v>1</v>
      </c>
      <c r="L9" s="224">
        <v>0</v>
      </c>
    </row>
    <row r="10" spans="1:12" s="271" customFormat="1" ht="16.5" customHeight="1">
      <c r="A10" s="861" t="s">
        <v>178</v>
      </c>
      <c r="B10" s="861"/>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194</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267</v>
      </c>
      <c r="C13" s="272">
        <f aca="true" t="shared" si="3" ref="C13:C23">D13+E13+F13+G13</f>
        <v>0</v>
      </c>
      <c r="D13" s="231">
        <v>0</v>
      </c>
      <c r="E13" s="231">
        <v>0</v>
      </c>
      <c r="F13" s="231">
        <v>0</v>
      </c>
      <c r="G13" s="231">
        <v>0</v>
      </c>
      <c r="H13" s="231">
        <v>0</v>
      </c>
      <c r="I13" s="231">
        <v>0</v>
      </c>
      <c r="J13" s="273">
        <v>0</v>
      </c>
      <c r="K13" s="273">
        <v>0</v>
      </c>
      <c r="L13" s="273">
        <v>0</v>
      </c>
      <c r="AF13" s="271" t="s">
        <v>266</v>
      </c>
    </row>
    <row r="14" spans="1:37" s="271" customFormat="1" ht="16.5" customHeight="1">
      <c r="A14" s="274">
        <v>2</v>
      </c>
      <c r="B14" s="68" t="s">
        <v>299</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270</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271</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326</v>
      </c>
      <c r="C17" s="272">
        <f t="shared" si="3"/>
        <v>1</v>
      </c>
      <c r="D17" s="231">
        <v>0</v>
      </c>
      <c r="E17" s="231">
        <v>0</v>
      </c>
      <c r="F17" s="231">
        <v>0</v>
      </c>
      <c r="G17" s="231">
        <v>1</v>
      </c>
      <c r="H17" s="231">
        <v>1</v>
      </c>
      <c r="I17" s="231">
        <v>0</v>
      </c>
      <c r="J17" s="273">
        <v>1</v>
      </c>
      <c r="K17" s="273">
        <v>0</v>
      </c>
      <c r="L17" s="273">
        <v>0</v>
      </c>
      <c r="AF17" s="199" t="s">
        <v>269</v>
      </c>
    </row>
    <row r="18" spans="1:12" s="271" customFormat="1" ht="16.5" customHeight="1">
      <c r="A18" s="274">
        <v>6</v>
      </c>
      <c r="B18" s="68" t="s">
        <v>273</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278</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280</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281</v>
      </c>
      <c r="C21" s="272">
        <f t="shared" si="3"/>
        <v>0</v>
      </c>
      <c r="D21" s="231">
        <v>0</v>
      </c>
      <c r="E21" s="231">
        <v>0</v>
      </c>
      <c r="F21" s="231">
        <v>0</v>
      </c>
      <c r="G21" s="231">
        <v>0</v>
      </c>
      <c r="H21" s="231">
        <v>0</v>
      </c>
      <c r="I21" s="231">
        <v>0</v>
      </c>
      <c r="J21" s="273">
        <v>0</v>
      </c>
      <c r="K21" s="273">
        <v>0</v>
      </c>
      <c r="L21" s="273">
        <v>0</v>
      </c>
      <c r="AJ21" s="271" t="s">
        <v>274</v>
      </c>
      <c r="AK21" s="271" t="s">
        <v>275</v>
      </c>
      <c r="AL21" s="271" t="s">
        <v>276</v>
      </c>
      <c r="AM21" s="199" t="s">
        <v>277</v>
      </c>
    </row>
    <row r="22" spans="1:39" s="271" customFormat="1" ht="16.5" customHeight="1">
      <c r="A22" s="274">
        <v>10</v>
      </c>
      <c r="B22" s="68" t="s">
        <v>282</v>
      </c>
      <c r="C22" s="272">
        <f t="shared" si="3"/>
        <v>1</v>
      </c>
      <c r="D22" s="231">
        <v>0</v>
      </c>
      <c r="E22" s="231">
        <v>1</v>
      </c>
      <c r="F22" s="231">
        <v>0</v>
      </c>
      <c r="G22" s="231">
        <v>0</v>
      </c>
      <c r="H22" s="231">
        <v>1</v>
      </c>
      <c r="I22" s="231">
        <v>0</v>
      </c>
      <c r="J22" s="273">
        <v>1</v>
      </c>
      <c r="K22" s="273">
        <v>0</v>
      </c>
      <c r="L22" s="273">
        <v>0</v>
      </c>
      <c r="AM22" s="199" t="s">
        <v>279</v>
      </c>
    </row>
    <row r="23" spans="1:12" s="271" customFormat="1" ht="16.5" customHeight="1">
      <c r="A23" s="274">
        <v>11</v>
      </c>
      <c r="B23" s="68" t="s">
        <v>284</v>
      </c>
      <c r="C23" s="272">
        <f t="shared" si="3"/>
        <v>0</v>
      </c>
      <c r="D23" s="231">
        <v>0</v>
      </c>
      <c r="E23" s="231">
        <v>0</v>
      </c>
      <c r="F23" s="231">
        <v>0</v>
      </c>
      <c r="G23" s="231">
        <v>0</v>
      </c>
      <c r="H23" s="231">
        <v>0</v>
      </c>
      <c r="I23" s="231">
        <v>0</v>
      </c>
      <c r="J23" s="273">
        <v>0</v>
      </c>
      <c r="K23" s="273">
        <v>0</v>
      </c>
      <c r="L23" s="273">
        <v>0</v>
      </c>
    </row>
    <row r="24" ht="9" customHeight="1">
      <c r="AJ24" s="233" t="s">
        <v>274</v>
      </c>
    </row>
    <row r="25" spans="1:36" ht="15.75" customHeight="1">
      <c r="A25" s="794" t="s">
        <v>327</v>
      </c>
      <c r="B25" s="794"/>
      <c r="C25" s="794"/>
      <c r="D25" s="794"/>
      <c r="E25" s="182"/>
      <c r="F25" s="799" t="s">
        <v>285</v>
      </c>
      <c r="G25" s="799"/>
      <c r="H25" s="799"/>
      <c r="I25" s="799"/>
      <c r="J25" s="799"/>
      <c r="K25" s="799"/>
      <c r="L25" s="799"/>
      <c r="AJ25" s="190" t="s">
        <v>283</v>
      </c>
    </row>
    <row r="26" spans="1:44" ht="15" customHeight="1">
      <c r="A26" s="784" t="s">
        <v>151</v>
      </c>
      <c r="B26" s="784"/>
      <c r="C26" s="784"/>
      <c r="D26" s="784"/>
      <c r="E26" s="183"/>
      <c r="F26" s="787" t="s">
        <v>152</v>
      </c>
      <c r="G26" s="787"/>
      <c r="H26" s="787"/>
      <c r="I26" s="787"/>
      <c r="J26" s="787"/>
      <c r="K26" s="787"/>
      <c r="L26" s="787"/>
      <c r="AR26" s="190"/>
    </row>
    <row r="27" spans="1:12" s="170" customFormat="1" ht="18.75">
      <c r="A27" s="781"/>
      <c r="B27" s="781"/>
      <c r="C27" s="781"/>
      <c r="D27" s="781"/>
      <c r="E27" s="182"/>
      <c r="F27" s="782"/>
      <c r="G27" s="782"/>
      <c r="H27" s="782"/>
      <c r="I27" s="782"/>
      <c r="J27" s="782"/>
      <c r="K27" s="782"/>
      <c r="L27" s="782"/>
    </row>
    <row r="28" spans="1:35" ht="18">
      <c r="A28" s="187"/>
      <c r="B28" s="187"/>
      <c r="C28" s="182"/>
      <c r="D28" s="182"/>
      <c r="E28" s="182"/>
      <c r="F28" s="182"/>
      <c r="G28" s="182"/>
      <c r="H28" s="182"/>
      <c r="I28" s="182"/>
      <c r="J28" s="182"/>
      <c r="K28" s="182"/>
      <c r="L28" s="182"/>
      <c r="AG28" s="233" t="s">
        <v>286</v>
      </c>
      <c r="AI28" s="190">
        <f>82/88</f>
        <v>0.9318181818181818</v>
      </c>
    </row>
    <row r="29" spans="1:12" ht="18">
      <c r="A29" s="187"/>
      <c r="B29" s="843" t="s">
        <v>289</v>
      </c>
      <c r="C29" s="843"/>
      <c r="D29" s="182"/>
      <c r="E29" s="182"/>
      <c r="F29" s="182"/>
      <c r="G29" s="182"/>
      <c r="H29" s="843" t="s">
        <v>289</v>
      </c>
      <c r="I29" s="843"/>
      <c r="J29" s="843"/>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195</v>
      </c>
      <c r="B32" s="185"/>
      <c r="C32" s="186"/>
      <c r="D32" s="186"/>
      <c r="E32" s="186"/>
      <c r="F32" s="186"/>
      <c r="G32" s="186"/>
      <c r="H32" s="186"/>
      <c r="I32" s="186"/>
      <c r="J32" s="186"/>
      <c r="K32" s="186"/>
      <c r="L32" s="186"/>
    </row>
    <row r="33" spans="1:12" s="211" customFormat="1" ht="18.75" hidden="1">
      <c r="A33" s="237"/>
      <c r="B33" s="279" t="s">
        <v>196</v>
      </c>
      <c r="C33" s="279"/>
      <c r="D33" s="279"/>
      <c r="E33" s="236"/>
      <c r="F33" s="236"/>
      <c r="G33" s="236"/>
      <c r="H33" s="236"/>
      <c r="I33" s="236"/>
      <c r="J33" s="236"/>
      <c r="K33" s="236"/>
      <c r="L33" s="236"/>
    </row>
    <row r="34" spans="1:12" s="211" customFormat="1" ht="18.75" hidden="1">
      <c r="A34" s="237"/>
      <c r="B34" s="279" t="s">
        <v>197</v>
      </c>
      <c r="C34" s="279"/>
      <c r="D34" s="279"/>
      <c r="E34" s="279"/>
      <c r="F34" s="236"/>
      <c r="G34" s="236"/>
      <c r="H34" s="236"/>
      <c r="I34" s="236"/>
      <c r="J34" s="236"/>
      <c r="K34" s="236"/>
      <c r="L34" s="236"/>
    </row>
    <row r="35" spans="1:12" s="211" customFormat="1" ht="18.75" hidden="1">
      <c r="A35" s="237"/>
      <c r="B35" s="236" t="s">
        <v>198</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687" t="s">
        <v>242</v>
      </c>
      <c r="B37" s="687"/>
      <c r="C37" s="687"/>
      <c r="D37" s="687"/>
      <c r="E37" s="210"/>
      <c r="F37" s="688" t="s">
        <v>243</v>
      </c>
      <c r="G37" s="688"/>
      <c r="H37" s="688"/>
      <c r="I37" s="688"/>
      <c r="J37" s="688"/>
      <c r="K37" s="688"/>
      <c r="L37" s="688"/>
      <c r="M37" s="127"/>
    </row>
    <row r="38" spans="1:12" ht="18">
      <c r="A38" s="187"/>
      <c r="B38" s="187"/>
      <c r="C38" s="182"/>
      <c r="D38" s="182"/>
      <c r="E38" s="182"/>
      <c r="F38" s="182"/>
      <c r="G38" s="182"/>
      <c r="H38" s="182"/>
      <c r="I38" s="182"/>
      <c r="J38" s="182"/>
      <c r="K38" s="182"/>
      <c r="L38" s="182"/>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862" t="s">
        <v>199</v>
      </c>
      <c r="B1" s="862"/>
      <c r="C1" s="862"/>
      <c r="D1" s="852" t="s">
        <v>365</v>
      </c>
      <c r="E1" s="852"/>
      <c r="F1" s="852"/>
      <c r="G1" s="852"/>
      <c r="H1" s="852"/>
      <c r="I1" s="170"/>
      <c r="J1" s="171" t="s">
        <v>359</v>
      </c>
      <c r="K1" s="280"/>
      <c r="L1" s="280"/>
    </row>
    <row r="2" spans="1:12" ht="15.75" customHeight="1">
      <c r="A2" s="866" t="s">
        <v>300</v>
      </c>
      <c r="B2" s="866"/>
      <c r="C2" s="866"/>
      <c r="D2" s="852"/>
      <c r="E2" s="852"/>
      <c r="F2" s="852"/>
      <c r="G2" s="852"/>
      <c r="H2" s="852"/>
      <c r="I2" s="170"/>
      <c r="J2" s="281" t="s">
        <v>301</v>
      </c>
      <c r="K2" s="281"/>
      <c r="L2" s="281"/>
    </row>
    <row r="3" spans="1:12" ht="18.75" customHeight="1">
      <c r="A3" s="772" t="s">
        <v>252</v>
      </c>
      <c r="B3" s="772"/>
      <c r="C3" s="772"/>
      <c r="D3" s="167"/>
      <c r="E3" s="167"/>
      <c r="F3" s="167"/>
      <c r="G3" s="167"/>
      <c r="H3" s="167"/>
      <c r="I3" s="170"/>
      <c r="J3" s="174" t="s">
        <v>358</v>
      </c>
      <c r="K3" s="174"/>
      <c r="L3" s="174"/>
    </row>
    <row r="4" spans="1:12" ht="15.75" customHeight="1">
      <c r="A4" s="863" t="s">
        <v>328</v>
      </c>
      <c r="B4" s="863"/>
      <c r="C4" s="863"/>
      <c r="D4" s="878"/>
      <c r="E4" s="878"/>
      <c r="F4" s="878"/>
      <c r="G4" s="878"/>
      <c r="H4" s="878"/>
      <c r="I4" s="170"/>
      <c r="J4" s="282" t="s">
        <v>293</v>
      </c>
      <c r="K4" s="282"/>
      <c r="L4" s="282"/>
    </row>
    <row r="5" spans="1:12" ht="15.75">
      <c r="A5" s="867"/>
      <c r="B5" s="867"/>
      <c r="C5" s="166"/>
      <c r="D5" s="170"/>
      <c r="E5" s="170"/>
      <c r="F5" s="170"/>
      <c r="G5" s="170"/>
      <c r="H5" s="283"/>
      <c r="I5" s="879" t="s">
        <v>329</v>
      </c>
      <c r="J5" s="879"/>
      <c r="K5" s="879"/>
      <c r="L5" s="879"/>
    </row>
    <row r="6" spans="1:12" ht="18.75" customHeight="1">
      <c r="A6" s="764" t="s">
        <v>55</v>
      </c>
      <c r="B6" s="765"/>
      <c r="C6" s="874" t="s">
        <v>200</v>
      </c>
      <c r="D6" s="785" t="s">
        <v>201</v>
      </c>
      <c r="E6" s="877"/>
      <c r="F6" s="786"/>
      <c r="G6" s="785" t="s">
        <v>202</v>
      </c>
      <c r="H6" s="877"/>
      <c r="I6" s="877"/>
      <c r="J6" s="877"/>
      <c r="K6" s="877"/>
      <c r="L6" s="786"/>
    </row>
    <row r="7" spans="1:12" ht="15.75" customHeight="1">
      <c r="A7" s="766"/>
      <c r="B7" s="767"/>
      <c r="C7" s="876"/>
      <c r="D7" s="785" t="s">
        <v>7</v>
      </c>
      <c r="E7" s="877"/>
      <c r="F7" s="786"/>
      <c r="G7" s="874" t="s">
        <v>30</v>
      </c>
      <c r="H7" s="785" t="s">
        <v>7</v>
      </c>
      <c r="I7" s="877"/>
      <c r="J7" s="877"/>
      <c r="K7" s="877"/>
      <c r="L7" s="786"/>
    </row>
    <row r="8" spans="1:12" ht="14.25" customHeight="1">
      <c r="A8" s="766"/>
      <c r="B8" s="767"/>
      <c r="C8" s="876"/>
      <c r="D8" s="874" t="s">
        <v>203</v>
      </c>
      <c r="E8" s="874" t="s">
        <v>204</v>
      </c>
      <c r="F8" s="874" t="s">
        <v>205</v>
      </c>
      <c r="G8" s="876"/>
      <c r="H8" s="874" t="s">
        <v>206</v>
      </c>
      <c r="I8" s="874" t="s">
        <v>207</v>
      </c>
      <c r="J8" s="874" t="s">
        <v>208</v>
      </c>
      <c r="K8" s="874" t="s">
        <v>209</v>
      </c>
      <c r="L8" s="874" t="s">
        <v>210</v>
      </c>
    </row>
    <row r="9" spans="1:12" ht="77.25" customHeight="1">
      <c r="A9" s="768"/>
      <c r="B9" s="769"/>
      <c r="C9" s="875"/>
      <c r="D9" s="875"/>
      <c r="E9" s="875"/>
      <c r="F9" s="875"/>
      <c r="G9" s="875"/>
      <c r="H9" s="875"/>
      <c r="I9" s="875"/>
      <c r="J9" s="875"/>
      <c r="K9" s="875"/>
      <c r="L9" s="875"/>
    </row>
    <row r="10" spans="1:12" s="271" customFormat="1" ht="16.5" customHeight="1">
      <c r="A10" s="868" t="s">
        <v>6</v>
      </c>
      <c r="B10" s="869"/>
      <c r="C10" s="220">
        <v>1</v>
      </c>
      <c r="D10" s="220">
        <v>2</v>
      </c>
      <c r="E10" s="220">
        <v>3</v>
      </c>
      <c r="F10" s="220">
        <v>4</v>
      </c>
      <c r="G10" s="220">
        <v>5</v>
      </c>
      <c r="H10" s="220">
        <v>6</v>
      </c>
      <c r="I10" s="220">
        <v>7</v>
      </c>
      <c r="J10" s="220">
        <v>8</v>
      </c>
      <c r="K10" s="221" t="s">
        <v>61</v>
      </c>
      <c r="L10" s="221" t="s">
        <v>81</v>
      </c>
    </row>
    <row r="11" spans="1:12" s="271" customFormat="1" ht="16.5" customHeight="1">
      <c r="A11" s="872" t="s">
        <v>297</v>
      </c>
      <c r="B11" s="873"/>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70" t="s">
        <v>298</v>
      </c>
      <c r="B12" s="871"/>
      <c r="C12" s="224">
        <v>12</v>
      </c>
      <c r="D12" s="224">
        <v>0</v>
      </c>
      <c r="E12" s="224">
        <v>1</v>
      </c>
      <c r="F12" s="224">
        <v>11</v>
      </c>
      <c r="G12" s="224">
        <v>10</v>
      </c>
      <c r="H12" s="224">
        <v>0</v>
      </c>
      <c r="I12" s="224">
        <v>0</v>
      </c>
      <c r="J12" s="224">
        <v>0</v>
      </c>
      <c r="K12" s="224">
        <v>6</v>
      </c>
      <c r="L12" s="224">
        <v>4</v>
      </c>
    </row>
    <row r="13" spans="1:32" s="271" customFormat="1" ht="16.5" customHeight="1">
      <c r="A13" s="864" t="s">
        <v>30</v>
      </c>
      <c r="B13" s="865"/>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266</v>
      </c>
    </row>
    <row r="14" spans="1:37" s="271" customFormat="1" ht="16.5" customHeight="1">
      <c r="A14" s="274" t="s">
        <v>0</v>
      </c>
      <c r="B14" s="198" t="s">
        <v>129</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267</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268</v>
      </c>
      <c r="C17" s="226">
        <f t="shared" si="2"/>
        <v>1</v>
      </c>
      <c r="D17" s="231">
        <v>0</v>
      </c>
      <c r="E17" s="231">
        <v>0</v>
      </c>
      <c r="F17" s="231">
        <v>1</v>
      </c>
      <c r="G17" s="226">
        <f t="shared" si="1"/>
        <v>1</v>
      </c>
      <c r="H17" s="231">
        <v>0</v>
      </c>
      <c r="I17" s="231">
        <v>0</v>
      </c>
      <c r="J17" s="273">
        <v>0</v>
      </c>
      <c r="K17" s="273">
        <v>0</v>
      </c>
      <c r="L17" s="273">
        <v>1</v>
      </c>
      <c r="M17" s="285"/>
      <c r="AF17" s="199" t="s">
        <v>269</v>
      </c>
    </row>
    <row r="18" spans="1:14" s="271" customFormat="1" ht="15.75" customHeight="1">
      <c r="A18" s="200">
        <v>3</v>
      </c>
      <c r="B18" s="68" t="s">
        <v>270</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271</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272</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273</v>
      </c>
      <c r="C21" s="226">
        <f t="shared" si="2"/>
        <v>0</v>
      </c>
      <c r="D21" s="231">
        <v>0</v>
      </c>
      <c r="E21" s="231">
        <v>0</v>
      </c>
      <c r="F21" s="231">
        <v>0</v>
      </c>
      <c r="G21" s="226">
        <f t="shared" si="1"/>
        <v>0</v>
      </c>
      <c r="H21" s="231">
        <v>0</v>
      </c>
      <c r="I21" s="231">
        <v>0</v>
      </c>
      <c r="J21" s="273">
        <v>0</v>
      </c>
      <c r="K21" s="273">
        <v>0</v>
      </c>
      <c r="L21" s="273">
        <v>0</v>
      </c>
      <c r="M21" s="285"/>
      <c r="AJ21" s="271" t="s">
        <v>274</v>
      </c>
      <c r="AK21" s="271" t="s">
        <v>275</v>
      </c>
      <c r="AL21" s="271" t="s">
        <v>276</v>
      </c>
      <c r="AM21" s="199" t="s">
        <v>277</v>
      </c>
    </row>
    <row r="22" spans="1:39" s="271" customFormat="1" ht="15.75" customHeight="1">
      <c r="A22" s="200">
        <v>7</v>
      </c>
      <c r="B22" s="68" t="s">
        <v>278</v>
      </c>
      <c r="C22" s="226">
        <f t="shared" si="2"/>
        <v>0</v>
      </c>
      <c r="D22" s="231">
        <v>0</v>
      </c>
      <c r="E22" s="231">
        <v>0</v>
      </c>
      <c r="F22" s="231">
        <v>0</v>
      </c>
      <c r="G22" s="226">
        <f t="shared" si="1"/>
        <v>0</v>
      </c>
      <c r="H22" s="231">
        <v>0</v>
      </c>
      <c r="I22" s="231">
        <v>0</v>
      </c>
      <c r="J22" s="273">
        <v>0</v>
      </c>
      <c r="K22" s="273">
        <v>0</v>
      </c>
      <c r="L22" s="273">
        <v>0</v>
      </c>
      <c r="M22" s="285"/>
      <c r="N22" s="178"/>
      <c r="AM22" s="199" t="s">
        <v>279</v>
      </c>
    </row>
    <row r="23" spans="1:13" s="271" customFormat="1" ht="15.75" customHeight="1">
      <c r="A23" s="200">
        <v>8</v>
      </c>
      <c r="B23" s="68" t="s">
        <v>280</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281</v>
      </c>
      <c r="C24" s="226">
        <f t="shared" si="2"/>
        <v>0</v>
      </c>
      <c r="D24" s="231">
        <v>0</v>
      </c>
      <c r="E24" s="231">
        <v>0</v>
      </c>
      <c r="F24" s="231">
        <v>0</v>
      </c>
      <c r="G24" s="226">
        <f t="shared" si="1"/>
        <v>0</v>
      </c>
      <c r="H24" s="231">
        <v>0</v>
      </c>
      <c r="I24" s="231">
        <v>0</v>
      </c>
      <c r="J24" s="273">
        <v>0</v>
      </c>
      <c r="K24" s="273">
        <v>0</v>
      </c>
      <c r="L24" s="273">
        <v>0</v>
      </c>
      <c r="M24" s="285"/>
      <c r="AJ24" s="271" t="s">
        <v>274</v>
      </c>
    </row>
    <row r="25" spans="1:36" s="271" customFormat="1" ht="15.75" customHeight="1">
      <c r="A25" s="200">
        <v>10</v>
      </c>
      <c r="B25" s="68" t="s">
        <v>282</v>
      </c>
      <c r="C25" s="226">
        <f t="shared" si="2"/>
        <v>1</v>
      </c>
      <c r="D25" s="231">
        <v>0</v>
      </c>
      <c r="E25" s="231">
        <v>0</v>
      </c>
      <c r="F25" s="231">
        <v>1</v>
      </c>
      <c r="G25" s="226">
        <f t="shared" si="1"/>
        <v>1</v>
      </c>
      <c r="H25" s="231">
        <v>0</v>
      </c>
      <c r="I25" s="231">
        <v>0</v>
      </c>
      <c r="J25" s="273">
        <v>0</v>
      </c>
      <c r="K25" s="273">
        <v>0</v>
      </c>
      <c r="L25" s="273">
        <v>1</v>
      </c>
      <c r="M25" s="285"/>
      <c r="AJ25" s="199" t="s">
        <v>283</v>
      </c>
    </row>
    <row r="26" spans="1:44" s="271" customFormat="1" ht="15.75" customHeight="1">
      <c r="A26" s="200">
        <v>11</v>
      </c>
      <c r="B26" s="68" t="s">
        <v>284</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94" t="s">
        <v>285</v>
      </c>
      <c r="B28" s="794"/>
      <c r="C28" s="794"/>
      <c r="D28" s="794"/>
      <c r="E28" s="794"/>
      <c r="F28" s="182"/>
      <c r="G28" s="181"/>
      <c r="H28" s="294" t="s">
        <v>330</v>
      </c>
      <c r="I28" s="295"/>
      <c r="J28" s="295"/>
      <c r="K28" s="295"/>
      <c r="L28" s="295"/>
      <c r="AG28" s="233" t="s">
        <v>286</v>
      </c>
      <c r="AI28" s="190">
        <f>82/88</f>
        <v>0.9318181818181818</v>
      </c>
    </row>
    <row r="29" spans="1:12" ht="15" customHeight="1">
      <c r="A29" s="784" t="s">
        <v>4</v>
      </c>
      <c r="B29" s="784"/>
      <c r="C29" s="784"/>
      <c r="D29" s="784"/>
      <c r="E29" s="784"/>
      <c r="F29" s="182"/>
      <c r="G29" s="183"/>
      <c r="H29" s="787" t="s">
        <v>152</v>
      </c>
      <c r="I29" s="787"/>
      <c r="J29" s="787"/>
      <c r="K29" s="787"/>
      <c r="L29" s="787"/>
    </row>
    <row r="30" spans="1:14" s="170" customFormat="1" ht="18.75">
      <c r="A30" s="781"/>
      <c r="B30" s="781"/>
      <c r="C30" s="781"/>
      <c r="D30" s="781"/>
      <c r="E30" s="781"/>
      <c r="F30" s="296"/>
      <c r="G30" s="182"/>
      <c r="H30" s="782"/>
      <c r="I30" s="782"/>
      <c r="J30" s="782"/>
      <c r="K30" s="782"/>
      <c r="L30" s="782"/>
      <c r="M30" s="297"/>
      <c r="N30" s="297"/>
    </row>
    <row r="31" spans="1:12" ht="18">
      <c r="A31" s="182"/>
      <c r="B31" s="182"/>
      <c r="C31" s="182"/>
      <c r="D31" s="182"/>
      <c r="E31" s="182"/>
      <c r="F31" s="182"/>
      <c r="G31" s="182"/>
      <c r="H31" s="182"/>
      <c r="I31" s="182"/>
      <c r="J31" s="182"/>
      <c r="K31" s="182"/>
      <c r="L31" s="298"/>
    </row>
    <row r="32" spans="1:12" ht="18">
      <c r="A32" s="182"/>
      <c r="B32" s="843" t="s">
        <v>289</v>
      </c>
      <c r="C32" s="843"/>
      <c r="D32" s="843"/>
      <c r="E32" s="843"/>
      <c r="F32" s="182"/>
      <c r="G32" s="182"/>
      <c r="H32" s="182"/>
      <c r="I32" s="843" t="s">
        <v>289</v>
      </c>
      <c r="J32" s="843"/>
      <c r="K32" s="843"/>
      <c r="L32" s="298"/>
    </row>
    <row r="33" spans="1:12" ht="10.5" customHeight="1">
      <c r="A33" s="182"/>
      <c r="B33" s="182"/>
      <c r="C33" s="299" t="s">
        <v>288</v>
      </c>
      <c r="D33" s="299"/>
      <c r="E33" s="299"/>
      <c r="F33" s="299"/>
      <c r="G33" s="299"/>
      <c r="H33" s="299"/>
      <c r="I33" s="299"/>
      <c r="J33" s="300" t="s">
        <v>288</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80" t="s">
        <v>211</v>
      </c>
      <c r="C40" s="880"/>
      <c r="D40" s="880"/>
      <c r="E40" s="880"/>
      <c r="F40" s="880"/>
      <c r="G40" s="303"/>
      <c r="H40" s="301"/>
      <c r="I40" s="301"/>
      <c r="J40" s="301"/>
      <c r="K40" s="301"/>
      <c r="L40" s="301"/>
      <c r="M40" s="265"/>
      <c r="N40" s="265"/>
      <c r="O40" s="265"/>
      <c r="P40" s="265"/>
    </row>
    <row r="41" spans="1:12" ht="12.75" customHeight="1" hidden="1">
      <c r="A41" s="182"/>
      <c r="B41" s="279" t="s">
        <v>212</v>
      </c>
      <c r="C41" s="304"/>
      <c r="D41" s="304"/>
      <c r="E41" s="304"/>
      <c r="F41" s="304"/>
      <c r="G41" s="182"/>
      <c r="H41" s="301"/>
      <c r="I41" s="301"/>
      <c r="J41" s="301"/>
      <c r="K41" s="301"/>
      <c r="L41" s="301"/>
    </row>
    <row r="42" spans="1:12" ht="12.75" customHeight="1" hidden="1">
      <c r="A42" s="182"/>
      <c r="B42" s="236" t="s">
        <v>213</v>
      </c>
      <c r="C42" s="304"/>
      <c r="D42" s="304"/>
      <c r="E42" s="304"/>
      <c r="F42" s="304"/>
      <c r="G42" s="182"/>
      <c r="H42" s="301"/>
      <c r="I42" s="301"/>
      <c r="J42" s="301"/>
      <c r="K42" s="301"/>
      <c r="L42" s="301"/>
    </row>
    <row r="43" spans="1:12" ht="18.75">
      <c r="A43" s="687" t="s">
        <v>331</v>
      </c>
      <c r="B43" s="687"/>
      <c r="C43" s="687"/>
      <c r="D43" s="687"/>
      <c r="E43" s="687"/>
      <c r="F43" s="182"/>
      <c r="G43" s="301"/>
      <c r="H43" s="688" t="s">
        <v>243</v>
      </c>
      <c r="I43" s="688"/>
      <c r="J43" s="688"/>
      <c r="K43" s="688"/>
      <c r="L43" s="688"/>
    </row>
    <row r="44" spans="1:12" ht="12.75" customHeight="1">
      <c r="A44" s="182"/>
      <c r="B44" s="182"/>
      <c r="C44" s="182"/>
      <c r="D44" s="182"/>
      <c r="E44" s="182"/>
      <c r="F44" s="182"/>
      <c r="G44" s="182"/>
      <c r="H44" s="301"/>
      <c r="I44" s="301"/>
      <c r="J44" s="301"/>
      <c r="K44" s="301"/>
      <c r="L44" s="301"/>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75" t="s">
        <v>214</v>
      </c>
      <c r="B1" s="775"/>
      <c r="C1" s="775"/>
      <c r="D1" s="775"/>
      <c r="E1" s="306"/>
      <c r="F1" s="770" t="s">
        <v>366</v>
      </c>
      <c r="G1" s="770"/>
      <c r="H1" s="770"/>
      <c r="I1" s="770"/>
      <c r="J1" s="770"/>
      <c r="K1" s="770"/>
      <c r="L1" s="770"/>
      <c r="M1" s="770"/>
      <c r="N1" s="770"/>
      <c r="O1" s="770"/>
      <c r="P1" s="307" t="s">
        <v>290</v>
      </c>
      <c r="Q1" s="308"/>
      <c r="R1" s="308"/>
      <c r="S1" s="308"/>
      <c r="T1" s="308"/>
    </row>
    <row r="2" spans="1:20" s="177" customFormat="1" ht="20.25" customHeight="1">
      <c r="A2" s="884" t="s">
        <v>300</v>
      </c>
      <c r="B2" s="884"/>
      <c r="C2" s="884"/>
      <c r="D2" s="884"/>
      <c r="E2" s="306"/>
      <c r="F2" s="770"/>
      <c r="G2" s="770"/>
      <c r="H2" s="770"/>
      <c r="I2" s="770"/>
      <c r="J2" s="770"/>
      <c r="K2" s="770"/>
      <c r="L2" s="770"/>
      <c r="M2" s="770"/>
      <c r="N2" s="770"/>
      <c r="O2" s="770"/>
      <c r="P2" s="308" t="s">
        <v>332</v>
      </c>
      <c r="Q2" s="308"/>
      <c r="R2" s="308"/>
      <c r="S2" s="308"/>
      <c r="T2" s="308"/>
    </row>
    <row r="3" spans="1:20" s="177" customFormat="1" ht="15" customHeight="1">
      <c r="A3" s="884" t="s">
        <v>252</v>
      </c>
      <c r="B3" s="884"/>
      <c r="C3" s="884"/>
      <c r="D3" s="884"/>
      <c r="E3" s="306"/>
      <c r="F3" s="770"/>
      <c r="G3" s="770"/>
      <c r="H3" s="770"/>
      <c r="I3" s="770"/>
      <c r="J3" s="770"/>
      <c r="K3" s="770"/>
      <c r="L3" s="770"/>
      <c r="M3" s="770"/>
      <c r="N3" s="770"/>
      <c r="O3" s="770"/>
      <c r="P3" s="307" t="s">
        <v>358</v>
      </c>
      <c r="Q3" s="307"/>
      <c r="R3" s="307"/>
      <c r="S3" s="309"/>
      <c r="T3" s="309"/>
    </row>
    <row r="4" spans="1:20" s="177" customFormat="1" ht="15.75" customHeight="1">
      <c r="A4" s="887" t="s">
        <v>333</v>
      </c>
      <c r="B4" s="887"/>
      <c r="C4" s="887"/>
      <c r="D4" s="887"/>
      <c r="E4" s="307"/>
      <c r="F4" s="770"/>
      <c r="G4" s="770"/>
      <c r="H4" s="770"/>
      <c r="I4" s="770"/>
      <c r="J4" s="770"/>
      <c r="K4" s="770"/>
      <c r="L4" s="770"/>
      <c r="M4" s="770"/>
      <c r="N4" s="770"/>
      <c r="O4" s="770"/>
      <c r="P4" s="308" t="s">
        <v>302</v>
      </c>
      <c r="Q4" s="307"/>
      <c r="R4" s="307"/>
      <c r="S4" s="309"/>
      <c r="T4" s="309"/>
    </row>
    <row r="5" spans="1:18" s="177" customFormat="1" ht="24" customHeight="1">
      <c r="A5" s="310"/>
      <c r="B5" s="310"/>
      <c r="C5" s="310"/>
      <c r="F5" s="898"/>
      <c r="G5" s="898"/>
      <c r="H5" s="898"/>
      <c r="I5" s="898"/>
      <c r="J5" s="898"/>
      <c r="K5" s="898"/>
      <c r="L5" s="898"/>
      <c r="M5" s="898"/>
      <c r="N5" s="898"/>
      <c r="O5" s="898"/>
      <c r="P5" s="311" t="s">
        <v>334</v>
      </c>
      <c r="Q5" s="312"/>
      <c r="R5" s="312"/>
    </row>
    <row r="6" spans="1:20" s="313" customFormat="1" ht="21.75" customHeight="1">
      <c r="A6" s="892" t="s">
        <v>55</v>
      </c>
      <c r="B6" s="893"/>
      <c r="C6" s="778" t="s">
        <v>31</v>
      </c>
      <c r="D6" s="762"/>
      <c r="E6" s="778" t="s">
        <v>7</v>
      </c>
      <c r="F6" s="881"/>
      <c r="G6" s="881"/>
      <c r="H6" s="881"/>
      <c r="I6" s="881"/>
      <c r="J6" s="881"/>
      <c r="K6" s="881"/>
      <c r="L6" s="881"/>
      <c r="M6" s="881"/>
      <c r="N6" s="881"/>
      <c r="O6" s="881"/>
      <c r="P6" s="881"/>
      <c r="Q6" s="881"/>
      <c r="R6" s="881"/>
      <c r="S6" s="881"/>
      <c r="T6" s="762"/>
    </row>
    <row r="7" spans="1:21" s="313" customFormat="1" ht="22.5" customHeight="1">
      <c r="A7" s="894"/>
      <c r="B7" s="895"/>
      <c r="C7" s="795" t="s">
        <v>335</v>
      </c>
      <c r="D7" s="795" t="s">
        <v>336</v>
      </c>
      <c r="E7" s="778" t="s">
        <v>215</v>
      </c>
      <c r="F7" s="885"/>
      <c r="G7" s="885"/>
      <c r="H7" s="885"/>
      <c r="I7" s="885"/>
      <c r="J7" s="885"/>
      <c r="K7" s="885"/>
      <c r="L7" s="886"/>
      <c r="M7" s="778" t="s">
        <v>337</v>
      </c>
      <c r="N7" s="881"/>
      <c r="O7" s="881"/>
      <c r="P7" s="881"/>
      <c r="Q7" s="881"/>
      <c r="R7" s="881"/>
      <c r="S7" s="881"/>
      <c r="T7" s="762"/>
      <c r="U7" s="314"/>
    </row>
    <row r="8" spans="1:20" s="313" customFormat="1" ht="42.75" customHeight="1">
      <c r="A8" s="894"/>
      <c r="B8" s="895"/>
      <c r="C8" s="796"/>
      <c r="D8" s="796"/>
      <c r="E8" s="759" t="s">
        <v>338</v>
      </c>
      <c r="F8" s="759"/>
      <c r="G8" s="778" t="s">
        <v>339</v>
      </c>
      <c r="H8" s="881"/>
      <c r="I8" s="881"/>
      <c r="J8" s="881"/>
      <c r="K8" s="881"/>
      <c r="L8" s="762"/>
      <c r="M8" s="759" t="s">
        <v>340</v>
      </c>
      <c r="N8" s="759"/>
      <c r="O8" s="778" t="s">
        <v>339</v>
      </c>
      <c r="P8" s="881"/>
      <c r="Q8" s="881"/>
      <c r="R8" s="881"/>
      <c r="S8" s="881"/>
      <c r="T8" s="762"/>
    </row>
    <row r="9" spans="1:20" s="313" customFormat="1" ht="35.25" customHeight="1">
      <c r="A9" s="894"/>
      <c r="B9" s="895"/>
      <c r="C9" s="796"/>
      <c r="D9" s="796"/>
      <c r="E9" s="795" t="s">
        <v>216</v>
      </c>
      <c r="F9" s="795" t="s">
        <v>217</v>
      </c>
      <c r="G9" s="882" t="s">
        <v>218</v>
      </c>
      <c r="H9" s="883"/>
      <c r="I9" s="882" t="s">
        <v>219</v>
      </c>
      <c r="J9" s="883"/>
      <c r="K9" s="882" t="s">
        <v>220</v>
      </c>
      <c r="L9" s="883"/>
      <c r="M9" s="795" t="s">
        <v>221</v>
      </c>
      <c r="N9" s="795" t="s">
        <v>217</v>
      </c>
      <c r="O9" s="882" t="s">
        <v>218</v>
      </c>
      <c r="P9" s="883"/>
      <c r="Q9" s="882" t="s">
        <v>222</v>
      </c>
      <c r="R9" s="883"/>
      <c r="S9" s="882" t="s">
        <v>223</v>
      </c>
      <c r="T9" s="883"/>
    </row>
    <row r="10" spans="1:20" s="313" customFormat="1" ht="25.5" customHeight="1">
      <c r="A10" s="882"/>
      <c r="B10" s="883"/>
      <c r="C10" s="797"/>
      <c r="D10" s="797"/>
      <c r="E10" s="797"/>
      <c r="F10" s="797"/>
      <c r="G10" s="215" t="s">
        <v>221</v>
      </c>
      <c r="H10" s="215" t="s">
        <v>217</v>
      </c>
      <c r="I10" s="219" t="s">
        <v>221</v>
      </c>
      <c r="J10" s="215" t="s">
        <v>217</v>
      </c>
      <c r="K10" s="219" t="s">
        <v>221</v>
      </c>
      <c r="L10" s="215" t="s">
        <v>217</v>
      </c>
      <c r="M10" s="797"/>
      <c r="N10" s="797"/>
      <c r="O10" s="215" t="s">
        <v>221</v>
      </c>
      <c r="P10" s="215" t="s">
        <v>217</v>
      </c>
      <c r="Q10" s="219" t="s">
        <v>221</v>
      </c>
      <c r="R10" s="215" t="s">
        <v>217</v>
      </c>
      <c r="S10" s="219" t="s">
        <v>221</v>
      </c>
      <c r="T10" s="215" t="s">
        <v>217</v>
      </c>
    </row>
    <row r="11" spans="1:32" s="222" customFormat="1" ht="12.75">
      <c r="A11" s="896" t="s">
        <v>6</v>
      </c>
      <c r="B11" s="897"/>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266</v>
      </c>
    </row>
    <row r="12" spans="1:20" s="222" customFormat="1" ht="20.25" customHeight="1">
      <c r="A12" s="890" t="s">
        <v>322</v>
      </c>
      <c r="B12" s="891"/>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99" t="s">
        <v>298</v>
      </c>
      <c r="B13" s="900"/>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88" t="s">
        <v>30</v>
      </c>
      <c r="B14" s="889"/>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129</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267</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269</v>
      </c>
    </row>
    <row r="18" spans="1:20" s="178" customFormat="1" ht="15.75" customHeight="1">
      <c r="A18" s="200">
        <v>2</v>
      </c>
      <c r="B18" s="68" t="s">
        <v>299</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270</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271</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272</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274</v>
      </c>
      <c r="AK21" s="178" t="s">
        <v>275</v>
      </c>
      <c r="AL21" s="178" t="s">
        <v>276</v>
      </c>
      <c r="AM21" s="199" t="s">
        <v>277</v>
      </c>
    </row>
    <row r="22" spans="1:39" s="178" customFormat="1" ht="15.75" customHeight="1">
      <c r="A22" s="200">
        <v>6</v>
      </c>
      <c r="B22" s="68" t="s">
        <v>273</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279</v>
      </c>
    </row>
    <row r="23" spans="1:20" s="178" customFormat="1" ht="15.75" customHeight="1">
      <c r="A23" s="200">
        <v>7</v>
      </c>
      <c r="B23" s="68" t="s">
        <v>278</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280</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274</v>
      </c>
    </row>
    <row r="25" spans="1:36" s="178" customFormat="1" ht="15.75" customHeight="1">
      <c r="A25" s="200">
        <v>9</v>
      </c>
      <c r="B25" s="68" t="s">
        <v>281</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283</v>
      </c>
    </row>
    <row r="26" spans="1:44" s="178" customFormat="1" ht="15.75" customHeight="1">
      <c r="A26" s="200">
        <v>10</v>
      </c>
      <c r="B26" s="68" t="s">
        <v>282</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284</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286</v>
      </c>
      <c r="AI28" s="190">
        <f>82/88</f>
        <v>0.9318181818181818</v>
      </c>
    </row>
    <row r="29" spans="1:20" ht="15.75" customHeight="1">
      <c r="A29" s="180"/>
      <c r="B29" s="794" t="s">
        <v>285</v>
      </c>
      <c r="C29" s="794"/>
      <c r="D29" s="794"/>
      <c r="E29" s="794"/>
      <c r="F29" s="794"/>
      <c r="G29" s="794"/>
      <c r="H29" s="181"/>
      <c r="I29" s="181"/>
      <c r="J29" s="182"/>
      <c r="K29" s="181"/>
      <c r="L29" s="799" t="s">
        <v>285</v>
      </c>
      <c r="M29" s="799"/>
      <c r="N29" s="799"/>
      <c r="O29" s="799"/>
      <c r="P29" s="799"/>
      <c r="Q29" s="799"/>
      <c r="R29" s="799"/>
      <c r="S29" s="799"/>
      <c r="T29" s="799"/>
    </row>
    <row r="30" spans="1:20" ht="15" customHeight="1">
      <c r="A30" s="180"/>
      <c r="B30" s="784" t="s">
        <v>35</v>
      </c>
      <c r="C30" s="784"/>
      <c r="D30" s="784"/>
      <c r="E30" s="784"/>
      <c r="F30" s="784"/>
      <c r="G30" s="784"/>
      <c r="H30" s="183"/>
      <c r="I30" s="183"/>
      <c r="J30" s="183"/>
      <c r="K30" s="183"/>
      <c r="L30" s="787" t="s">
        <v>241</v>
      </c>
      <c r="M30" s="787"/>
      <c r="N30" s="787"/>
      <c r="O30" s="787"/>
      <c r="P30" s="787"/>
      <c r="Q30" s="787"/>
      <c r="R30" s="787"/>
      <c r="S30" s="787"/>
      <c r="T30" s="787"/>
    </row>
    <row r="31" spans="1:20" s="320" customFormat="1" ht="18.75">
      <c r="A31" s="318"/>
      <c r="B31" s="781"/>
      <c r="C31" s="781"/>
      <c r="D31" s="781"/>
      <c r="E31" s="781"/>
      <c r="F31" s="781"/>
      <c r="G31" s="319"/>
      <c r="H31" s="319"/>
      <c r="I31" s="319"/>
      <c r="J31" s="319"/>
      <c r="K31" s="319"/>
      <c r="L31" s="782"/>
      <c r="M31" s="782"/>
      <c r="N31" s="782"/>
      <c r="O31" s="782"/>
      <c r="P31" s="782"/>
      <c r="Q31" s="782"/>
      <c r="R31" s="782"/>
      <c r="S31" s="782"/>
      <c r="T31" s="782"/>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901" t="s">
        <v>289</v>
      </c>
      <c r="C33" s="901"/>
      <c r="D33" s="901"/>
      <c r="E33" s="901"/>
      <c r="F33" s="901"/>
      <c r="G33" s="321"/>
      <c r="H33" s="321"/>
      <c r="I33" s="321"/>
      <c r="J33" s="321"/>
      <c r="K33" s="321"/>
      <c r="L33" s="321"/>
      <c r="M33" s="321"/>
      <c r="N33" s="321"/>
      <c r="O33" s="901" t="s">
        <v>289</v>
      </c>
      <c r="P33" s="901"/>
      <c r="Q33" s="901"/>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211</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212</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224</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687" t="s">
        <v>242</v>
      </c>
      <c r="C39" s="687"/>
      <c r="D39" s="687"/>
      <c r="E39" s="687"/>
      <c r="F39" s="687"/>
      <c r="G39" s="687"/>
      <c r="H39" s="182"/>
      <c r="I39" s="182"/>
      <c r="J39" s="182"/>
      <c r="K39" s="182"/>
      <c r="L39" s="688" t="s">
        <v>243</v>
      </c>
      <c r="M39" s="688"/>
      <c r="N39" s="688"/>
      <c r="O39" s="688"/>
      <c r="P39" s="688"/>
      <c r="Q39" s="688"/>
      <c r="R39" s="688"/>
      <c r="S39" s="688"/>
      <c r="T39" s="688"/>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B33:F33"/>
    <mergeCell ref="M8:N8"/>
    <mergeCell ref="B39:G39"/>
    <mergeCell ref="L29:T29"/>
    <mergeCell ref="L30:T30"/>
    <mergeCell ref="L39:T39"/>
    <mergeCell ref="B30:G30"/>
    <mergeCell ref="S9:T9"/>
    <mergeCell ref="A13:B13"/>
    <mergeCell ref="L31:T31"/>
    <mergeCell ref="O33:Q33"/>
    <mergeCell ref="F1:O4"/>
    <mergeCell ref="B31:F31"/>
    <mergeCell ref="A11:B11"/>
    <mergeCell ref="C7:C10"/>
    <mergeCell ref="B29:G29"/>
    <mergeCell ref="F5:O5"/>
    <mergeCell ref="N9:N10"/>
    <mergeCell ref="G9:H9"/>
    <mergeCell ref="O8:T8"/>
    <mergeCell ref="E8:F8"/>
    <mergeCell ref="Q9:R9"/>
    <mergeCell ref="F9:F10"/>
    <mergeCell ref="A3:D3"/>
    <mergeCell ref="E9:E10"/>
    <mergeCell ref="K9:L9"/>
    <mergeCell ref="A14:B14"/>
    <mergeCell ref="I9:J9"/>
    <mergeCell ref="A12:B12"/>
    <mergeCell ref="A6:B10"/>
    <mergeCell ref="C6:D6"/>
    <mergeCell ref="M7:T7"/>
    <mergeCell ref="M9:M10"/>
    <mergeCell ref="A1:D1"/>
    <mergeCell ref="D7:D10"/>
    <mergeCell ref="O9:P9"/>
    <mergeCell ref="A2:D2"/>
    <mergeCell ref="E6:T6"/>
    <mergeCell ref="E7:L7"/>
    <mergeCell ref="A4:D4"/>
    <mergeCell ref="G8:L8"/>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 </cp:lastModifiedBy>
  <cp:lastPrinted>2016-06-01T10:19:32Z</cp:lastPrinted>
  <dcterms:created xsi:type="dcterms:W3CDTF">2004-03-07T02:36:29Z</dcterms:created>
  <dcterms:modified xsi:type="dcterms:W3CDTF">2016-06-06T06:12:40Z</dcterms:modified>
  <cp:category/>
  <cp:version/>
  <cp:contentType/>
  <cp:contentStatus/>
</cp:coreProperties>
</file>